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K:\Begaanbaarheid bouwterreinen\Rekentool\"/>
    </mc:Choice>
  </mc:AlternateContent>
  <bookViews>
    <workbookView xWindow="28680" yWindow="-120" windowWidth="29040" windowHeight="15840" tabRatio="846" firstSheet="1" activeTab="7"/>
  </bookViews>
  <sheets>
    <sheet name="Kraan en situatie gegevens" sheetId="1" r:id="rId1"/>
    <sheet name="Tabel C1 belastingen" sheetId="2" r:id="rId2"/>
    <sheet name="Funderingsoppervlak" sheetId="3" r:id="rId3"/>
    <sheet name="Tabel C2 Samenvatting" sheetId="4" r:id="rId4"/>
    <sheet name="Grondeigenschappen" sheetId="13" r:id="rId5"/>
    <sheet name="Draagvermogen" sheetId="14" r:id="rId6"/>
    <sheet name="BIJLAGE berek. draagvermogen" sheetId="16" r:id="rId7"/>
    <sheet name="CERTIFICAAT Bouwterrein" sheetId="15" r:id="rId8"/>
    <sheet name="Kranen" sheetId="10" r:id="rId9"/>
    <sheet name="Schotten" sheetId="9" r:id="rId10"/>
    <sheet name="Blok gegevens" sheetId="8" r:id="rId11"/>
  </sheets>
  <externalReferences>
    <externalReference r:id="rId12"/>
  </externalReferences>
  <definedNames>
    <definedName name="_xlnm.Print_Area" localSheetId="6">'BIJLAGE berek. draagvermogen'!$A$1:$I$165</definedName>
    <definedName name="_xlnm.Print_Area" localSheetId="7">'CERTIFICAAT Bouwterrein'!$A$1:$J$55</definedName>
    <definedName name="Bloknaam">'Blok gegevens'!$B:$B</definedName>
    <definedName name="ExterneGegevens_1" localSheetId="10" hidden="1">'Blok gegevens'!$A$1:$H$65</definedName>
    <definedName name="ExterneGegevens_1" localSheetId="8" hidden="1">Kranen!$A$1:$Y$48</definedName>
    <definedName name="ExterneGegevens_2" localSheetId="9" hidden="1">Schotten!$A$1:$E$25</definedName>
    <definedName name="Kraannamen">Kranen!$1:$1</definedName>
    <definedName name="Schottennaam">Schotten!$A:$A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16" l="1"/>
  <c r="D15" i="16"/>
  <c r="B141" i="16"/>
  <c r="B142" i="16"/>
  <c r="B143" i="16"/>
  <c r="C123" i="16"/>
  <c r="C126" i="16"/>
  <c r="B115" i="16"/>
  <c r="C97" i="16"/>
  <c r="B90" i="16"/>
  <c r="B69" i="16"/>
  <c r="B70" i="16"/>
  <c r="B71" i="16"/>
  <c r="B68" i="16"/>
  <c r="C60" i="16"/>
  <c r="C58" i="16"/>
  <c r="D14" i="16"/>
  <c r="D13" i="16"/>
  <c r="I43" i="16"/>
  <c r="I44" i="16"/>
  <c r="I45" i="16"/>
  <c r="I46" i="16"/>
  <c r="I47" i="16"/>
  <c r="I48" i="16"/>
  <c r="I49" i="16"/>
  <c r="I50" i="16"/>
  <c r="I51" i="16"/>
  <c r="I52" i="16"/>
  <c r="I42" i="16"/>
  <c r="H43" i="16"/>
  <c r="H44" i="16"/>
  <c r="H45" i="16"/>
  <c r="H46" i="16"/>
  <c r="H47" i="16"/>
  <c r="H48" i="16"/>
  <c r="H49" i="16"/>
  <c r="H50" i="16"/>
  <c r="H51" i="16"/>
  <c r="H52" i="16"/>
  <c r="H42" i="16"/>
  <c r="G43" i="16"/>
  <c r="G44" i="16"/>
  <c r="G45" i="16"/>
  <c r="G46" i="16"/>
  <c r="G47" i="16"/>
  <c r="G48" i="16"/>
  <c r="G49" i="16"/>
  <c r="G50" i="16"/>
  <c r="G51" i="16"/>
  <c r="G52" i="16"/>
  <c r="G42" i="16"/>
  <c r="D43" i="16"/>
  <c r="E43" i="16"/>
  <c r="D44" i="16"/>
  <c r="E44" i="16"/>
  <c r="D45" i="16"/>
  <c r="E45" i="16"/>
  <c r="D46" i="16"/>
  <c r="E46" i="16"/>
  <c r="D47" i="16"/>
  <c r="E47" i="16"/>
  <c r="D48" i="16"/>
  <c r="E48" i="16"/>
  <c r="D49" i="16"/>
  <c r="E49" i="16"/>
  <c r="D50" i="16"/>
  <c r="E50" i="16"/>
  <c r="D51" i="16"/>
  <c r="E51" i="16"/>
  <c r="D52" i="16"/>
  <c r="E52" i="16"/>
  <c r="E42" i="16"/>
  <c r="D42" i="16"/>
  <c r="C43" i="16"/>
  <c r="C44" i="16"/>
  <c r="C45" i="16"/>
  <c r="C46" i="16"/>
  <c r="C47" i="16"/>
  <c r="C48" i="16"/>
  <c r="C49" i="16"/>
  <c r="C50" i="16"/>
  <c r="C51" i="16"/>
  <c r="C52" i="16"/>
  <c r="C42" i="16"/>
  <c r="A43" i="16"/>
  <c r="B43" i="16"/>
  <c r="A44" i="16"/>
  <c r="B44" i="16"/>
  <c r="A45" i="16"/>
  <c r="B45" i="16"/>
  <c r="A46" i="16"/>
  <c r="B46" i="16"/>
  <c r="A47" i="16"/>
  <c r="B47" i="16"/>
  <c r="A48" i="16"/>
  <c r="B48" i="16"/>
  <c r="A49" i="16"/>
  <c r="B49" i="16"/>
  <c r="A50" i="16"/>
  <c r="B50" i="16"/>
  <c r="A51" i="16"/>
  <c r="B51" i="16"/>
  <c r="A52" i="16"/>
  <c r="B52" i="16"/>
  <c r="B42" i="16"/>
  <c r="G27" i="16"/>
  <c r="H27" i="16"/>
  <c r="I27" i="16"/>
  <c r="G28" i="16"/>
  <c r="H28" i="16"/>
  <c r="I28" i="16"/>
  <c r="G29" i="16"/>
  <c r="H29" i="16"/>
  <c r="I29" i="16"/>
  <c r="G30" i="16"/>
  <c r="H30" i="16"/>
  <c r="I30" i="16"/>
  <c r="G31" i="16"/>
  <c r="H31" i="16"/>
  <c r="I31" i="16"/>
  <c r="G32" i="16"/>
  <c r="H32" i="16"/>
  <c r="I32" i="16"/>
  <c r="G33" i="16"/>
  <c r="H33" i="16"/>
  <c r="I33" i="16"/>
  <c r="G34" i="16"/>
  <c r="H34" i="16"/>
  <c r="I34" i="16"/>
  <c r="G35" i="16"/>
  <c r="H35" i="16"/>
  <c r="I35" i="16"/>
  <c r="G36" i="16"/>
  <c r="H36" i="16"/>
  <c r="I36" i="16"/>
  <c r="I26" i="16"/>
  <c r="H26" i="16"/>
  <c r="G26" i="16"/>
  <c r="D27" i="16"/>
  <c r="E27" i="16"/>
  <c r="D28" i="16"/>
  <c r="E28" i="16"/>
  <c r="D29" i="16"/>
  <c r="E29" i="16"/>
  <c r="D30" i="16"/>
  <c r="E30" i="16"/>
  <c r="D31" i="16"/>
  <c r="E31" i="16"/>
  <c r="D32" i="16"/>
  <c r="E32" i="16"/>
  <c r="D33" i="16"/>
  <c r="E33" i="16"/>
  <c r="D34" i="16"/>
  <c r="E34" i="16"/>
  <c r="D35" i="16"/>
  <c r="E35" i="16"/>
  <c r="D36" i="16"/>
  <c r="E36" i="16"/>
  <c r="E26" i="16"/>
  <c r="D26" i="16"/>
  <c r="C27" i="16"/>
  <c r="C28" i="16"/>
  <c r="C29" i="16"/>
  <c r="C30" i="16"/>
  <c r="C31" i="16"/>
  <c r="C32" i="16"/>
  <c r="C33" i="16"/>
  <c r="C34" i="16"/>
  <c r="C35" i="16"/>
  <c r="C36" i="16"/>
  <c r="C26" i="16"/>
  <c r="A27" i="16"/>
  <c r="B27" i="16"/>
  <c r="A28" i="16"/>
  <c r="B28" i="16"/>
  <c r="A29" i="16"/>
  <c r="B29" i="16"/>
  <c r="A30" i="16"/>
  <c r="B30" i="16"/>
  <c r="A31" i="16"/>
  <c r="B31" i="16"/>
  <c r="A32" i="16"/>
  <c r="B32" i="16"/>
  <c r="A33" i="16"/>
  <c r="B33" i="16"/>
  <c r="A34" i="16"/>
  <c r="B34" i="16"/>
  <c r="A35" i="16"/>
  <c r="B35" i="16"/>
  <c r="A36" i="16"/>
  <c r="B36" i="16"/>
  <c r="B26" i="16"/>
  <c r="D25" i="15"/>
  <c r="D29" i="15"/>
  <c r="E1" i="1"/>
  <c r="D31" i="15"/>
  <c r="D20" i="15"/>
  <c r="D19" i="15"/>
  <c r="D43" i="15"/>
  <c r="D42" i="15"/>
  <c r="C2" i="13" l="1"/>
  <c r="C3" i="13"/>
  <c r="A12" i="14"/>
  <c r="T7" i="13" l="1"/>
  <c r="T8" i="13"/>
  <c r="T9" i="13"/>
  <c r="T10" i="13"/>
  <c r="T11" i="13"/>
  <c r="T12" i="13"/>
  <c r="T13" i="13"/>
  <c r="T14" i="13"/>
  <c r="T15" i="13"/>
  <c r="T16" i="13"/>
  <c r="T6" i="13"/>
  <c r="W6" i="13"/>
  <c r="V7" i="13"/>
  <c r="W7" i="13"/>
  <c r="V8" i="13"/>
  <c r="W8" i="13" s="1"/>
  <c r="V9" i="13"/>
  <c r="W9" i="13" s="1"/>
  <c r="V10" i="13"/>
  <c r="W10" i="13" s="1"/>
  <c r="V11" i="13"/>
  <c r="W11" i="13" s="1"/>
  <c r="V12" i="13"/>
  <c r="W12" i="13" s="1"/>
  <c r="V13" i="13"/>
  <c r="W13" i="13"/>
  <c r="V14" i="13"/>
  <c r="W14" i="13" s="1"/>
  <c r="V15" i="13"/>
  <c r="W15" i="13" s="1"/>
  <c r="V16" i="13"/>
  <c r="W16" i="13" s="1"/>
  <c r="C31" i="13"/>
  <c r="I31" i="13" s="1"/>
  <c r="C32" i="13"/>
  <c r="I32" i="13" s="1"/>
  <c r="C33" i="13"/>
  <c r="I33" i="13" s="1"/>
  <c r="F2" i="13"/>
  <c r="D24" i="15" s="1"/>
  <c r="C6" i="13"/>
  <c r="B6" i="13" l="1"/>
  <c r="A26" i="16" s="1"/>
  <c r="S3" i="14"/>
  <c r="B121" i="16" s="1"/>
  <c r="F3" i="14"/>
  <c r="B56" i="16" s="1"/>
  <c r="L3" i="14"/>
  <c r="B95" i="16" s="1"/>
  <c r="AE37" i="14" l="1"/>
  <c r="AE28" i="14"/>
  <c r="W1" i="13" l="1"/>
  <c r="AB37" i="14" l="1"/>
  <c r="S5" i="14"/>
  <c r="C124" i="16" s="1"/>
  <c r="L5" i="14" l="1"/>
  <c r="C98" i="16" s="1"/>
  <c r="L16" i="13" l="1"/>
  <c r="L15" i="13"/>
  <c r="F33" i="13"/>
  <c r="E33" i="13"/>
  <c r="B33" i="13"/>
  <c r="F32" i="13"/>
  <c r="E32" i="13"/>
  <c r="B32" i="13"/>
  <c r="F31" i="13"/>
  <c r="E31" i="13"/>
  <c r="F30" i="13"/>
  <c r="E30" i="13"/>
  <c r="C30" i="13"/>
  <c r="I30" i="13" s="1"/>
  <c r="F29" i="13"/>
  <c r="E29" i="13"/>
  <c r="C29" i="13"/>
  <c r="I29" i="13" s="1"/>
  <c r="F28" i="13"/>
  <c r="E28" i="13"/>
  <c r="C28" i="13"/>
  <c r="I28" i="13" s="1"/>
  <c r="F27" i="13"/>
  <c r="E27" i="13"/>
  <c r="C27" i="13"/>
  <c r="I27" i="13" s="1"/>
  <c r="F26" i="13"/>
  <c r="E26" i="13"/>
  <c r="C26" i="13"/>
  <c r="I26" i="13" s="1"/>
  <c r="F25" i="13"/>
  <c r="E25" i="13"/>
  <c r="C25" i="13"/>
  <c r="I25" i="13" s="1"/>
  <c r="F24" i="13"/>
  <c r="E24" i="13"/>
  <c r="C24" i="13"/>
  <c r="I24" i="13" s="1"/>
  <c r="F23" i="13"/>
  <c r="E23" i="13"/>
  <c r="C23" i="13"/>
  <c r="D16" i="13"/>
  <c r="D15" i="13"/>
  <c r="AB28" i="14"/>
  <c r="AB30" i="14" s="1"/>
  <c r="AE39" i="14"/>
  <c r="AB39" i="14"/>
  <c r="AB38" i="14" s="1"/>
  <c r="AC38" i="14" s="1"/>
  <c r="AE30" i="14"/>
  <c r="AE29" i="14" s="1"/>
  <c r="AF29" i="14" s="1"/>
  <c r="Q33" i="13"/>
  <c r="Q32" i="13"/>
  <c r="Q31" i="13"/>
  <c r="Q30" i="13"/>
  <c r="Q29" i="13"/>
  <c r="Q28" i="13"/>
  <c r="Q27" i="13"/>
  <c r="Q26" i="13"/>
  <c r="Q25" i="13"/>
  <c r="Q24" i="13"/>
  <c r="Q23" i="13"/>
  <c r="P33" i="13"/>
  <c r="P32" i="13"/>
  <c r="P31" i="13"/>
  <c r="P30" i="13"/>
  <c r="P29" i="13"/>
  <c r="P28" i="13"/>
  <c r="P27" i="13"/>
  <c r="P26" i="13"/>
  <c r="P25" i="13"/>
  <c r="P24" i="13"/>
  <c r="P23" i="13"/>
  <c r="O33" i="13"/>
  <c r="O32" i="13"/>
  <c r="O31" i="13"/>
  <c r="O30" i="13"/>
  <c r="O29" i="13"/>
  <c r="O28" i="13"/>
  <c r="O27" i="13"/>
  <c r="O26" i="13"/>
  <c r="O25" i="13"/>
  <c r="O24" i="13"/>
  <c r="O23" i="13"/>
  <c r="G33" i="13"/>
  <c r="E65" i="13" s="1"/>
  <c r="H25" i="13"/>
  <c r="F57" i="13" s="1"/>
  <c r="H26" i="13"/>
  <c r="F58" i="13" s="1"/>
  <c r="H27" i="13"/>
  <c r="F59" i="13" s="1"/>
  <c r="H28" i="13"/>
  <c r="F60" i="13" s="1"/>
  <c r="H29" i="13"/>
  <c r="F61" i="13" s="1"/>
  <c r="H30" i="13"/>
  <c r="F62" i="13" s="1"/>
  <c r="H31" i="13"/>
  <c r="F63" i="13" s="1"/>
  <c r="H32" i="13"/>
  <c r="F64" i="13" s="1"/>
  <c r="H33" i="13"/>
  <c r="F65" i="13" s="1"/>
  <c r="H24" i="13"/>
  <c r="F56" i="13" s="1"/>
  <c r="H23" i="13"/>
  <c r="F55" i="13" s="1"/>
  <c r="G25" i="13"/>
  <c r="E57" i="13" s="1"/>
  <c r="G26" i="13"/>
  <c r="E58" i="13" s="1"/>
  <c r="G27" i="13"/>
  <c r="E59" i="13" s="1"/>
  <c r="G28" i="13"/>
  <c r="E60" i="13" s="1"/>
  <c r="G29" i="13"/>
  <c r="E61" i="13" s="1"/>
  <c r="G30" i="13"/>
  <c r="E62" i="13" s="1"/>
  <c r="G31" i="13"/>
  <c r="E63" i="13" s="1"/>
  <c r="G32" i="13"/>
  <c r="E64" i="13" s="1"/>
  <c r="G24" i="13"/>
  <c r="E56" i="13" s="1"/>
  <c r="G23" i="13"/>
  <c r="E55" i="13" s="1"/>
  <c r="B12" i="13"/>
  <c r="L12" i="13"/>
  <c r="L29" i="13" s="1"/>
  <c r="B13" i="13"/>
  <c r="L13" i="13"/>
  <c r="L30" i="13" s="1"/>
  <c r="B14" i="13"/>
  <c r="L14" i="13"/>
  <c r="L11" i="13"/>
  <c r="L7" i="13"/>
  <c r="L8" i="13"/>
  <c r="L9" i="13"/>
  <c r="L10" i="13"/>
  <c r="L6" i="13"/>
  <c r="L23" i="13" s="1"/>
  <c r="B10" i="13"/>
  <c r="B11" i="13"/>
  <c r="B8" i="13"/>
  <c r="B9" i="13"/>
  <c r="B7" i="13"/>
  <c r="B12" i="3"/>
  <c r="B3" i="3"/>
  <c r="E7" i="3" s="1"/>
  <c r="I23" i="13" l="1"/>
  <c r="D33" i="13"/>
  <c r="B24" i="13"/>
  <c r="B31" i="13"/>
  <c r="B26" i="13"/>
  <c r="B25" i="13"/>
  <c r="D11" i="13"/>
  <c r="D10" i="13"/>
  <c r="D32" i="13"/>
  <c r="U14" i="13"/>
  <c r="X14" i="13" s="1"/>
  <c r="A14" i="13"/>
  <c r="U13" i="13"/>
  <c r="X13" i="13" s="1"/>
  <c r="A13" i="13"/>
  <c r="L31" i="13"/>
  <c r="U15" i="13"/>
  <c r="X15" i="13" s="1"/>
  <c r="A15" i="13"/>
  <c r="L32" i="13"/>
  <c r="A6" i="13"/>
  <c r="U6" i="13"/>
  <c r="A7" i="13"/>
  <c r="U7" i="13"/>
  <c r="X7" i="13" s="1"/>
  <c r="U12" i="13"/>
  <c r="X12" i="13" s="1"/>
  <c r="A12" i="13"/>
  <c r="U16" i="13"/>
  <c r="X16" i="13" s="1"/>
  <c r="A16" i="13"/>
  <c r="L33" i="13"/>
  <c r="A11" i="13"/>
  <c r="U11" i="13"/>
  <c r="X11" i="13" s="1"/>
  <c r="A10" i="13"/>
  <c r="U10" i="13"/>
  <c r="X10" i="13" s="1"/>
  <c r="A9" i="13"/>
  <c r="U9" i="13"/>
  <c r="X9" i="13" s="1"/>
  <c r="A8" i="13"/>
  <c r="U8" i="13"/>
  <c r="X8" i="13" s="1"/>
  <c r="L28" i="13"/>
  <c r="B28" i="13"/>
  <c r="L26" i="13"/>
  <c r="L25" i="13"/>
  <c r="B27" i="13"/>
  <c r="B29" i="13"/>
  <c r="B38" i="13"/>
  <c r="B55" i="13" s="1"/>
  <c r="T75" i="13"/>
  <c r="B23" i="13"/>
  <c r="I6" i="13"/>
  <c r="I7" i="13"/>
  <c r="I11" i="13"/>
  <c r="I12" i="13"/>
  <c r="I13" i="13"/>
  <c r="I8" i="13"/>
  <c r="I14" i="13"/>
  <c r="I9" i="13"/>
  <c r="I15" i="13"/>
  <c r="I10" i="13"/>
  <c r="I16" i="13"/>
  <c r="L27" i="13"/>
  <c r="L24" i="13"/>
  <c r="B30" i="13"/>
  <c r="D6" i="13"/>
  <c r="D12" i="13"/>
  <c r="D7" i="13"/>
  <c r="D13" i="13"/>
  <c r="D8" i="13"/>
  <c r="D14" i="13"/>
  <c r="D9" i="13"/>
  <c r="AC30" i="14"/>
  <c r="AB29" i="14"/>
  <c r="AC29" i="14" s="1"/>
  <c r="AE38" i="14"/>
  <c r="AF38" i="14" s="1"/>
  <c r="AF39" i="14"/>
  <c r="AF30" i="14"/>
  <c r="AF32" i="14" s="1"/>
  <c r="AF28" i="14" s="1"/>
  <c r="AC39" i="14"/>
  <c r="AC41" i="14" s="1"/>
  <c r="AC37" i="14" s="1"/>
  <c r="E8" i="3"/>
  <c r="L12" i="14" l="1"/>
  <c r="B105" i="16" s="1"/>
  <c r="A42" i="16"/>
  <c r="D25" i="13"/>
  <c r="D28" i="13"/>
  <c r="D26" i="13"/>
  <c r="D31" i="13"/>
  <c r="D27" i="13"/>
  <c r="D23" i="13"/>
  <c r="J6" i="13"/>
  <c r="J7" i="13" s="1"/>
  <c r="J8" i="13" s="1"/>
  <c r="J9" i="13" s="1"/>
  <c r="J10" i="13" s="1"/>
  <c r="J11" i="13" s="1"/>
  <c r="J12" i="13" s="1"/>
  <c r="J13" i="13" s="1"/>
  <c r="J14" i="13" s="1"/>
  <c r="J15" i="13" s="1"/>
  <c r="J16" i="13" s="1"/>
  <c r="X22" i="13"/>
  <c r="AF41" i="14"/>
  <c r="AF37" i="14" s="1"/>
  <c r="D24" i="13"/>
  <c r="AC32" i="14"/>
  <c r="AC28" i="14" s="1"/>
  <c r="X75" i="13"/>
  <c r="D89" i="13" s="1"/>
  <c r="Y75" i="13"/>
  <c r="E89" i="13" s="1"/>
  <c r="B75" i="13"/>
  <c r="B89" i="13" s="1"/>
  <c r="U75" i="13"/>
  <c r="D29" i="13"/>
  <c r="D30" i="13"/>
  <c r="R6" i="13"/>
  <c r="S6" i="13" s="1"/>
  <c r="W75" i="13" l="1"/>
  <c r="V75" i="13"/>
  <c r="F75" i="13" s="1"/>
  <c r="R23" i="13"/>
  <c r="S23" i="13" s="1"/>
  <c r="J23" i="13"/>
  <c r="J24" i="13" s="1"/>
  <c r="J25" i="13" s="1"/>
  <c r="J26" i="13" s="1"/>
  <c r="J27" i="13" s="1"/>
  <c r="J28" i="13" s="1"/>
  <c r="J29" i="13" s="1"/>
  <c r="J30" i="13" s="1"/>
  <c r="J31" i="13" s="1"/>
  <c r="J32" i="13" s="1"/>
  <c r="J33" i="13" s="1"/>
  <c r="R24" i="13"/>
  <c r="S24" i="13" s="1"/>
  <c r="T76" i="13"/>
  <c r="Y76" i="13" s="1"/>
  <c r="E90" i="13" s="1"/>
  <c r="K6" i="13"/>
  <c r="R7" i="13"/>
  <c r="S7" i="13" s="1"/>
  <c r="M6" i="13" l="1"/>
  <c r="N6" i="13" s="1"/>
  <c r="F26" i="16"/>
  <c r="K23" i="13"/>
  <c r="F42" i="16" s="1"/>
  <c r="R25" i="13"/>
  <c r="S25" i="13" s="1"/>
  <c r="X76" i="13"/>
  <c r="D90" i="13" s="1"/>
  <c r="U76" i="13"/>
  <c r="K24" i="13"/>
  <c r="R8" i="13"/>
  <c r="M23" i="13" l="1"/>
  <c r="N23" i="13" s="1"/>
  <c r="L16" i="14"/>
  <c r="B109" i="16" s="1"/>
  <c r="F43" i="16"/>
  <c r="R26" i="13"/>
  <c r="S26" i="13" s="1"/>
  <c r="T77" i="13"/>
  <c r="X77" i="13" s="1"/>
  <c r="D91" i="13" s="1"/>
  <c r="V76" i="13"/>
  <c r="F76" i="13" s="1"/>
  <c r="W76" i="13"/>
  <c r="K7" i="13"/>
  <c r="K25" i="13"/>
  <c r="S8" i="13"/>
  <c r="R9" i="13"/>
  <c r="K8" i="13"/>
  <c r="M8" i="13" l="1"/>
  <c r="F28" i="16"/>
  <c r="S24" i="14"/>
  <c r="B140" i="16" s="1"/>
  <c r="F44" i="16"/>
  <c r="M7" i="13"/>
  <c r="M24" i="13" s="1"/>
  <c r="N24" i="13" s="1"/>
  <c r="F27" i="16"/>
  <c r="R27" i="13"/>
  <c r="S27" i="13" s="1"/>
  <c r="U77" i="13"/>
  <c r="W77" i="13" s="1"/>
  <c r="Y77" i="13"/>
  <c r="E91" i="13" s="1"/>
  <c r="V77" i="13"/>
  <c r="F77" i="13" s="1"/>
  <c r="T78" i="13"/>
  <c r="K27" i="13"/>
  <c r="F46" i="16" s="1"/>
  <c r="R28" i="13"/>
  <c r="S28" i="13" s="1"/>
  <c r="N8" i="13"/>
  <c r="M25" i="13"/>
  <c r="R10" i="13"/>
  <c r="S9" i="13"/>
  <c r="K9" i="13"/>
  <c r="N7" i="13" l="1"/>
  <c r="M9" i="13"/>
  <c r="F29" i="16"/>
  <c r="N25" i="13"/>
  <c r="K26" i="13"/>
  <c r="F45" i="16" s="1"/>
  <c r="X78" i="13"/>
  <c r="D92" i="13" s="1"/>
  <c r="Y78" i="13"/>
  <c r="E92" i="13" s="1"/>
  <c r="R29" i="13"/>
  <c r="S29" i="13" s="1"/>
  <c r="U78" i="13"/>
  <c r="N9" i="13"/>
  <c r="M26" i="13"/>
  <c r="N26" i="13" s="1"/>
  <c r="S10" i="13"/>
  <c r="R11" i="13"/>
  <c r="K10" i="13"/>
  <c r="M10" i="13" l="1"/>
  <c r="F30" i="16"/>
  <c r="V78" i="13"/>
  <c r="F78" i="13" s="1"/>
  <c r="W78" i="13"/>
  <c r="K28" i="13"/>
  <c r="F47" i="16" s="1"/>
  <c r="R30" i="13"/>
  <c r="S30" i="13" s="1"/>
  <c r="T79" i="13"/>
  <c r="N10" i="13"/>
  <c r="M27" i="13"/>
  <c r="N27" i="13" s="1"/>
  <c r="S11" i="13"/>
  <c r="R12" i="13"/>
  <c r="K29" i="13"/>
  <c r="F48" i="16" s="1"/>
  <c r="K11" i="13"/>
  <c r="M11" i="13" l="1"/>
  <c r="F31" i="16"/>
  <c r="R31" i="13"/>
  <c r="S31" i="13" s="1"/>
  <c r="Y79" i="13"/>
  <c r="E93" i="13" s="1"/>
  <c r="X79" i="13"/>
  <c r="D93" i="13" s="1"/>
  <c r="U79" i="13"/>
  <c r="N11" i="13"/>
  <c r="M28" i="13"/>
  <c r="N28" i="13" s="1"/>
  <c r="R13" i="13"/>
  <c r="S12" i="13"/>
  <c r="K30" i="13"/>
  <c r="F49" i="16" s="1"/>
  <c r="K12" i="13"/>
  <c r="M12" i="13" l="1"/>
  <c r="M29" i="13" s="1"/>
  <c r="N29" i="13" s="1"/>
  <c r="F32" i="16"/>
  <c r="W79" i="13"/>
  <c r="V79" i="13"/>
  <c r="F79" i="13" s="1"/>
  <c r="R32" i="13"/>
  <c r="T80" i="13"/>
  <c r="K31" i="13"/>
  <c r="F50" i="16" s="1"/>
  <c r="S13" i="13"/>
  <c r="R14" i="13"/>
  <c r="K13" i="13"/>
  <c r="N12" i="13" l="1"/>
  <c r="M13" i="13"/>
  <c r="M30" i="13" s="1"/>
  <c r="N30" i="13" s="1"/>
  <c r="F33" i="16"/>
  <c r="S32" i="13"/>
  <c r="R33" i="13"/>
  <c r="S33" i="13" s="1"/>
  <c r="X80" i="13"/>
  <c r="D94" i="13" s="1"/>
  <c r="Y80" i="13"/>
  <c r="E94" i="13" s="1"/>
  <c r="U80" i="13"/>
  <c r="K33" i="13"/>
  <c r="F52" i="16" s="1"/>
  <c r="K32" i="13"/>
  <c r="F51" i="16" s="1"/>
  <c r="K14" i="13"/>
  <c r="N13" i="13"/>
  <c r="S14" i="13"/>
  <c r="R15" i="13"/>
  <c r="M14" i="13" l="1"/>
  <c r="F34" i="16"/>
  <c r="W80" i="13"/>
  <c r="V80" i="13"/>
  <c r="F80" i="13" s="1"/>
  <c r="T81" i="13"/>
  <c r="U81" i="13" s="1"/>
  <c r="K16" i="13"/>
  <c r="K15" i="13"/>
  <c r="N14" i="13"/>
  <c r="M31" i="13"/>
  <c r="N31" i="13" s="1"/>
  <c r="S15" i="13"/>
  <c r="R16" i="13"/>
  <c r="S16" i="13" s="1"/>
  <c r="M16" i="13" l="1"/>
  <c r="F36" i="16"/>
  <c r="M15" i="13"/>
  <c r="F35" i="16"/>
  <c r="V81" i="13"/>
  <c r="F81" i="13" s="1"/>
  <c r="W81" i="13"/>
  <c r="Y81" i="13"/>
  <c r="E95" i="13" s="1"/>
  <c r="X81" i="13"/>
  <c r="D95" i="13" s="1"/>
  <c r="U82" i="13"/>
  <c r="T82" i="13"/>
  <c r="N15" i="13"/>
  <c r="M32" i="13"/>
  <c r="N32" i="13" s="1"/>
  <c r="N16" i="13"/>
  <c r="M33" i="13"/>
  <c r="N33" i="13" s="1"/>
  <c r="V82" i="13" l="1"/>
  <c r="W82" i="13"/>
  <c r="X82" i="13"/>
  <c r="Y82" i="13"/>
  <c r="H10" i="2"/>
  <c r="H11" i="2"/>
  <c r="H12" i="2"/>
  <c r="H13" i="2"/>
  <c r="H14" i="2"/>
  <c r="H15" i="2"/>
  <c r="H16" i="2"/>
  <c r="H17" i="2"/>
  <c r="H18" i="2"/>
  <c r="H19" i="2"/>
  <c r="H20" i="2"/>
  <c r="H21" i="2"/>
  <c r="H22" i="2"/>
  <c r="H23" i="2"/>
  <c r="H24" i="2"/>
  <c r="H25" i="2"/>
  <c r="H26" i="2"/>
  <c r="H27" i="2"/>
  <c r="H28" i="2"/>
  <c r="H29" i="2"/>
  <c r="H30" i="2"/>
  <c r="H31" i="2"/>
  <c r="H32" i="2"/>
  <c r="H33" i="2"/>
  <c r="H34" i="2"/>
  <c r="H35" i="2"/>
  <c r="O16" i="1" l="1"/>
  <c r="S15" i="1" l="1"/>
  <c r="R15" i="1"/>
  <c r="Q15" i="1"/>
  <c r="O15" i="1"/>
  <c r="R25" i="1" l="1"/>
  <c r="O5" i="1" l="1"/>
  <c r="O4" i="1"/>
  <c r="O24" i="1" l="1"/>
  <c r="S14" i="1"/>
  <c r="R14" i="1"/>
  <c r="Q14" i="1"/>
  <c r="P14" i="1"/>
  <c r="O14" i="1"/>
  <c r="S13" i="1"/>
  <c r="R13" i="1"/>
  <c r="Q13" i="1"/>
  <c r="P13" i="1"/>
  <c r="P15" i="1" s="1"/>
  <c r="O13" i="1"/>
  <c r="S12" i="1"/>
  <c r="R12" i="1"/>
  <c r="Q12" i="1"/>
  <c r="P12" i="1"/>
  <c r="O12" i="1"/>
  <c r="S11" i="1"/>
  <c r="R11" i="1"/>
  <c r="Q11" i="1"/>
  <c r="P11" i="1"/>
  <c r="O11" i="1"/>
  <c r="S10" i="1"/>
  <c r="R10" i="1"/>
  <c r="Q10" i="1"/>
  <c r="P10" i="1"/>
  <c r="O10" i="1"/>
  <c r="S9" i="1"/>
  <c r="R9" i="1"/>
  <c r="Q9" i="1"/>
  <c r="P9" i="1"/>
  <c r="O9" i="1"/>
  <c r="S8" i="1"/>
  <c r="R8" i="1"/>
  <c r="Q8" i="1"/>
  <c r="P8" i="1"/>
  <c r="O8" i="1"/>
  <c r="O3" i="1" l="1"/>
  <c r="O2" i="1"/>
  <c r="O18" i="1"/>
  <c r="B13" i="3" s="1"/>
  <c r="S25" i="1" l="1"/>
  <c r="O25" i="1"/>
  <c r="R24" i="1" l="1"/>
  <c r="S24" i="1"/>
  <c r="O20" i="1"/>
  <c r="S23" i="1" s="1"/>
  <c r="O21" i="1"/>
  <c r="O19" i="1"/>
  <c r="B14" i="3" s="1"/>
  <c r="Q25" i="1" l="1"/>
  <c r="Q24" i="1"/>
  <c r="Q16" i="1"/>
  <c r="Q26" i="1"/>
  <c r="P24" i="1" l="1"/>
  <c r="P25" i="1"/>
  <c r="P26" i="1"/>
  <c r="C26" i="2"/>
  <c r="D3" i="2" l="1"/>
  <c r="B43" i="2" l="1"/>
  <c r="D43" i="2"/>
  <c r="C12" i="4" l="1"/>
  <c r="B39" i="3"/>
  <c r="B10" i="3"/>
  <c r="B9" i="3"/>
  <c r="B8" i="3"/>
  <c r="B45" i="2"/>
  <c r="B44" i="2"/>
  <c r="J35" i="2"/>
  <c r="I35" i="2"/>
  <c r="D35" i="2"/>
  <c r="L34" i="2"/>
  <c r="K34" i="2"/>
  <c r="J34" i="2"/>
  <c r="I34" i="2"/>
  <c r="O34" i="2" s="1"/>
  <c r="L33" i="2"/>
  <c r="K33" i="2"/>
  <c r="J33" i="2"/>
  <c r="I33" i="2"/>
  <c r="L32" i="2"/>
  <c r="K32" i="2"/>
  <c r="I32" i="2"/>
  <c r="C32" i="2"/>
  <c r="J31" i="2"/>
  <c r="I31" i="2"/>
  <c r="F31" i="2"/>
  <c r="E31" i="2"/>
  <c r="L30" i="2"/>
  <c r="K30" i="2"/>
  <c r="I30" i="2"/>
  <c r="C30" i="2"/>
  <c r="J29" i="2"/>
  <c r="I29" i="2"/>
  <c r="F29" i="2"/>
  <c r="E29" i="2"/>
  <c r="L28" i="2"/>
  <c r="K28" i="2"/>
  <c r="I28" i="2"/>
  <c r="C28" i="2"/>
  <c r="J27" i="2"/>
  <c r="I27" i="2"/>
  <c r="F27" i="2"/>
  <c r="E27" i="2"/>
  <c r="L26" i="2"/>
  <c r="K26" i="2"/>
  <c r="I26" i="2"/>
  <c r="J25" i="2"/>
  <c r="I25" i="2"/>
  <c r="F25" i="2"/>
  <c r="E25" i="2"/>
  <c r="L24" i="2"/>
  <c r="K24" i="2"/>
  <c r="I24" i="2"/>
  <c r="C24" i="2"/>
  <c r="J23" i="2"/>
  <c r="I23" i="2"/>
  <c r="F23" i="2"/>
  <c r="E23" i="2"/>
  <c r="L22" i="2"/>
  <c r="K22" i="2"/>
  <c r="I22" i="2"/>
  <c r="C22" i="2"/>
  <c r="K21" i="2"/>
  <c r="J21" i="2"/>
  <c r="I21" i="2"/>
  <c r="F21" i="2"/>
  <c r="L20" i="2"/>
  <c r="K20" i="2"/>
  <c r="I20" i="2"/>
  <c r="C20" i="2"/>
  <c r="J19" i="2"/>
  <c r="I19" i="2"/>
  <c r="F19" i="2"/>
  <c r="E19" i="2"/>
  <c r="L18" i="2"/>
  <c r="K18" i="2"/>
  <c r="I18" i="2"/>
  <c r="C18" i="2"/>
  <c r="J17" i="2"/>
  <c r="I17" i="2"/>
  <c r="F17" i="2"/>
  <c r="E17" i="2"/>
  <c r="L16" i="2"/>
  <c r="K16" i="2"/>
  <c r="I16" i="2"/>
  <c r="C16" i="2"/>
  <c r="K15" i="2"/>
  <c r="J15" i="2"/>
  <c r="I15" i="2"/>
  <c r="F15" i="2"/>
  <c r="L14" i="2"/>
  <c r="K14" i="2"/>
  <c r="I14" i="2"/>
  <c r="C14" i="2"/>
  <c r="O13" i="2"/>
  <c r="N13" i="2"/>
  <c r="M13" i="2"/>
  <c r="J13" i="2"/>
  <c r="F13" i="2"/>
  <c r="E13" i="2"/>
  <c r="O12" i="2"/>
  <c r="N12" i="2"/>
  <c r="M12" i="2"/>
  <c r="L12" i="2"/>
  <c r="K12" i="2"/>
  <c r="C12" i="2"/>
  <c r="O11" i="2"/>
  <c r="N11" i="2"/>
  <c r="M11" i="2"/>
  <c r="K11" i="2"/>
  <c r="J11" i="2"/>
  <c r="F11" i="2"/>
  <c r="O10" i="2"/>
  <c r="N10" i="2"/>
  <c r="M10" i="2"/>
  <c r="L10" i="2"/>
  <c r="K10" i="2"/>
  <c r="E3" i="2"/>
  <c r="H38" i="3" l="1"/>
  <c r="K17" i="2"/>
  <c r="N17" i="2" s="1"/>
  <c r="K13" i="2"/>
  <c r="C43" i="2"/>
  <c r="E43" i="2" s="1"/>
  <c r="O23" i="1" s="1"/>
  <c r="C10" i="2" s="1"/>
  <c r="J10" i="2" s="1"/>
  <c r="O28" i="2"/>
  <c r="L35" i="2"/>
  <c r="O35" i="2" s="1"/>
  <c r="J20" i="2"/>
  <c r="M20" i="2" s="1"/>
  <c r="K27" i="2"/>
  <c r="N27" i="2" s="1"/>
  <c r="O22" i="2"/>
  <c r="L23" i="2"/>
  <c r="O23" i="2" s="1"/>
  <c r="M25" i="2"/>
  <c r="K29" i="2"/>
  <c r="N29" i="2" s="1"/>
  <c r="N16" i="2"/>
  <c r="L17" i="2"/>
  <c r="O17" i="2" s="1"/>
  <c r="M19" i="2"/>
  <c r="J30" i="2"/>
  <c r="M30" i="2" s="1"/>
  <c r="J14" i="2"/>
  <c r="M14" i="2" s="1"/>
  <c r="L21" i="2"/>
  <c r="O21" i="2" s="1"/>
  <c r="J24" i="2"/>
  <c r="M24" i="2" s="1"/>
  <c r="J28" i="2"/>
  <c r="M28" i="2" s="1"/>
  <c r="J32" i="2"/>
  <c r="M32" i="2" s="1"/>
  <c r="L15" i="2"/>
  <c r="O15" i="2" s="1"/>
  <c r="J18" i="2"/>
  <c r="M18" i="2" s="1"/>
  <c r="O24" i="2"/>
  <c r="O30" i="2"/>
  <c r="O16" i="2"/>
  <c r="O18" i="2"/>
  <c r="N22" i="2"/>
  <c r="K23" i="2"/>
  <c r="N23" i="2" s="1"/>
  <c r="J26" i="2"/>
  <c r="M26" i="2" s="1"/>
  <c r="N28" i="2"/>
  <c r="L29" i="2"/>
  <c r="O29" i="2" s="1"/>
  <c r="J12" i="2"/>
  <c r="L13" i="2"/>
  <c r="N14" i="2"/>
  <c r="N26" i="2"/>
  <c r="O32" i="2"/>
  <c r="O33" i="2"/>
  <c r="L11" i="2"/>
  <c r="J16" i="2"/>
  <c r="M16" i="2" s="1"/>
  <c r="K19" i="2"/>
  <c r="N19" i="2" s="1"/>
  <c r="J22" i="2"/>
  <c r="M22" i="2" s="1"/>
  <c r="K25" i="2"/>
  <c r="N25" i="2" s="1"/>
  <c r="L27" i="2"/>
  <c r="O27" i="2" s="1"/>
  <c r="N30" i="2"/>
  <c r="K31" i="2"/>
  <c r="N31" i="2" s="1"/>
  <c r="K35" i="2"/>
  <c r="N35" i="2" s="1"/>
  <c r="L19" i="2"/>
  <c r="O19" i="2" s="1"/>
  <c r="L25" i="2"/>
  <c r="O25" i="2" s="1"/>
  <c r="L31" i="2"/>
  <c r="O31" i="2" s="1"/>
  <c r="M23" i="2"/>
  <c r="M31" i="2"/>
  <c r="N20" i="2"/>
  <c r="M21" i="2"/>
  <c r="M29" i="2"/>
  <c r="M33" i="2"/>
  <c r="M34" i="2"/>
  <c r="O14" i="2"/>
  <c r="N15" i="2"/>
  <c r="N18" i="2"/>
  <c r="O20" i="2"/>
  <c r="N21" i="2"/>
  <c r="N24" i="2"/>
  <c r="O26" i="2"/>
  <c r="M27" i="2"/>
  <c r="N32" i="2"/>
  <c r="N33" i="2"/>
  <c r="N34" i="2"/>
  <c r="M35" i="2"/>
  <c r="M17" i="2"/>
  <c r="M15" i="2"/>
  <c r="B40" i="3"/>
  <c r="N36" i="2" l="1"/>
  <c r="K36" i="2"/>
  <c r="J36" i="2"/>
  <c r="B4" i="3" s="1"/>
  <c r="M36" i="2"/>
  <c r="O36" i="2"/>
  <c r="L36" i="2"/>
  <c r="N40" i="2" l="1"/>
  <c r="B3" i="4" s="1"/>
  <c r="N39" i="2"/>
  <c r="C8" i="4"/>
  <c r="C6" i="4"/>
  <c r="B3" i="14" s="1"/>
  <c r="N43" i="2"/>
  <c r="C10" i="4"/>
  <c r="N44" i="2"/>
  <c r="N47" i="2" s="1"/>
  <c r="C7" i="4"/>
  <c r="B4" i="14" s="1"/>
  <c r="B5" i="3"/>
  <c r="L20" i="14" l="1"/>
  <c r="F34" i="14"/>
  <c r="B8" i="14"/>
  <c r="N45" i="2"/>
  <c r="N46" i="2" s="1"/>
  <c r="C9" i="4"/>
  <c r="N41" i="2"/>
  <c r="B2" i="4"/>
  <c r="AC33" i="14" l="1"/>
  <c r="AC34" i="14" s="1"/>
  <c r="F6" i="14" s="1"/>
  <c r="C11" i="4"/>
  <c r="B4" i="4"/>
  <c r="O27" i="1"/>
  <c r="E3" i="3" l="1"/>
  <c r="E4" i="3"/>
  <c r="B22" i="3" s="1"/>
  <c r="B23" i="3" s="1"/>
  <c r="B19" i="3" s="1"/>
  <c r="E6" i="3" l="1"/>
  <c r="E40" i="3" s="1"/>
  <c r="B11" i="3"/>
  <c r="B28" i="3"/>
  <c r="B31" i="3" s="1"/>
  <c r="B27" i="3"/>
  <c r="B32" i="3" s="1"/>
  <c r="B41" i="3"/>
  <c r="B18" i="3"/>
  <c r="B25" i="3"/>
  <c r="B24" i="3"/>
  <c r="E41" i="3" l="1"/>
  <c r="B35" i="3"/>
  <c r="B34" i="3"/>
  <c r="B29" i="3"/>
  <c r="C13" i="4" l="1"/>
  <c r="D19" i="16" s="1"/>
  <c r="C14" i="4"/>
  <c r="D18" i="16" s="1"/>
  <c r="B42" i="3"/>
  <c r="B44" i="3" s="1"/>
  <c r="C16" i="4" s="1"/>
  <c r="B6" i="14"/>
  <c r="E42" i="3"/>
  <c r="B36" i="3"/>
  <c r="D32" i="15" l="1"/>
  <c r="D21" i="16"/>
  <c r="B5" i="14"/>
  <c r="S10" i="14" s="1"/>
  <c r="B131" i="16" s="1"/>
  <c r="L10" i="14"/>
  <c r="B103" i="16" s="1"/>
  <c r="S11" i="14"/>
  <c r="B132" i="16" s="1"/>
  <c r="C15" i="4"/>
  <c r="D20" i="16" s="1"/>
  <c r="F26" i="14" l="1"/>
  <c r="B79" i="16" s="1"/>
  <c r="F7" i="14"/>
  <c r="S12" i="14"/>
  <c r="L9" i="14"/>
  <c r="F8" i="14"/>
  <c r="S35" i="14"/>
  <c r="B151" i="16" s="1"/>
  <c r="B7" i="14"/>
  <c r="L11" i="14" l="1"/>
  <c r="B102" i="16"/>
  <c r="B159" i="16"/>
  <c r="B133" i="16"/>
  <c r="D36" i="13"/>
  <c r="C48" i="13" s="1"/>
  <c r="C65" i="13" s="1"/>
  <c r="C61" i="16"/>
  <c r="S7" i="14"/>
  <c r="B87" i="16"/>
  <c r="S8" i="14"/>
  <c r="AC42" i="14" s="1"/>
  <c r="AC43" i="14" s="1"/>
  <c r="S16" i="14" s="1"/>
  <c r="S43" i="14"/>
  <c r="B162" i="16" s="1"/>
  <c r="L14" i="14"/>
  <c r="B107" i="16" s="1"/>
  <c r="L13" i="14"/>
  <c r="B106" i="16" s="1"/>
  <c r="K6" i="14"/>
  <c r="A100" i="16" s="1"/>
  <c r="K7" i="14"/>
  <c r="G100" i="16" s="1"/>
  <c r="C46" i="13" l="1"/>
  <c r="B47" i="13" s="1"/>
  <c r="C38" i="13"/>
  <c r="E38" i="13" s="1"/>
  <c r="C47" i="13"/>
  <c r="C64" i="13" s="1"/>
  <c r="C40" i="13"/>
  <c r="B41" i="13" s="1"/>
  <c r="B58" i="13" s="1"/>
  <c r="C45" i="13"/>
  <c r="C62" i="13" s="1"/>
  <c r="C42" i="13"/>
  <c r="C59" i="13" s="1"/>
  <c r="C39" i="13"/>
  <c r="C56" i="13" s="1"/>
  <c r="C43" i="13"/>
  <c r="B44" i="13" s="1"/>
  <c r="B61" i="13" s="1"/>
  <c r="S17" i="14"/>
  <c r="C129" i="16" s="1"/>
  <c r="C128" i="16"/>
  <c r="C44" i="13"/>
  <c r="B45" i="13" s="1"/>
  <c r="B62" i="13" s="1"/>
  <c r="C41" i="13"/>
  <c r="C58" i="13" s="1"/>
  <c r="B112" i="16"/>
  <c r="B104" i="16"/>
  <c r="D73" i="13"/>
  <c r="L18" i="14"/>
  <c r="B111" i="16" s="1"/>
  <c r="D47" i="13"/>
  <c r="B64" i="13"/>
  <c r="C63" i="13"/>
  <c r="B48" i="13"/>
  <c r="E47" i="13"/>
  <c r="B39" i="13"/>
  <c r="B43" i="13" l="1"/>
  <c r="B60" i="13" s="1"/>
  <c r="C55" i="13"/>
  <c r="D38" i="13"/>
  <c r="D55" i="13" s="1"/>
  <c r="G55" i="13" s="1"/>
  <c r="H55" i="13" s="1"/>
  <c r="C60" i="13"/>
  <c r="C61" i="13"/>
  <c r="B46" i="13"/>
  <c r="B63" i="13" s="1"/>
  <c r="C57" i="13"/>
  <c r="B40" i="13"/>
  <c r="B57" i="13" s="1"/>
  <c r="U17" i="14"/>
  <c r="B42" i="13"/>
  <c r="L19" i="14"/>
  <c r="D37" i="15"/>
  <c r="F37" i="15" s="1"/>
  <c r="C75" i="13"/>
  <c r="C78" i="13"/>
  <c r="B79" i="13" s="1"/>
  <c r="B93" i="13" s="1"/>
  <c r="C76" i="13"/>
  <c r="B77" i="13" s="1"/>
  <c r="B91" i="13" s="1"/>
  <c r="C81" i="13"/>
  <c r="C79" i="13"/>
  <c r="B80" i="13" s="1"/>
  <c r="B94" i="13" s="1"/>
  <c r="C77" i="13"/>
  <c r="B78" i="13" s="1"/>
  <c r="B92" i="13" s="1"/>
  <c r="C80" i="13"/>
  <c r="E45" i="13"/>
  <c r="I47" i="13"/>
  <c r="E43" i="13"/>
  <c r="D45" i="13"/>
  <c r="D62" i="13" s="1"/>
  <c r="G62" i="13" s="1"/>
  <c r="B65" i="13"/>
  <c r="E48" i="13"/>
  <c r="E46" i="13"/>
  <c r="G47" i="13"/>
  <c r="J47" i="13" s="1"/>
  <c r="F47" i="13"/>
  <c r="G38" i="13"/>
  <c r="J38" i="13" s="1"/>
  <c r="E41" i="13"/>
  <c r="D43" i="13"/>
  <c r="E44" i="13"/>
  <c r="D41" i="13"/>
  <c r="D58" i="13" s="1"/>
  <c r="G58" i="13" s="1"/>
  <c r="F38" i="13"/>
  <c r="E42" i="13"/>
  <c r="B59" i="13"/>
  <c r="D48" i="13"/>
  <c r="D44" i="13"/>
  <c r="D39" i="13"/>
  <c r="B56" i="13"/>
  <c r="I38" i="13"/>
  <c r="I55" i="13"/>
  <c r="D64" i="13"/>
  <c r="G64" i="13" s="1"/>
  <c r="H64" i="13" s="1"/>
  <c r="I64" i="13"/>
  <c r="D42" i="13"/>
  <c r="E39" i="13"/>
  <c r="D46" i="13" l="1"/>
  <c r="E40" i="13"/>
  <c r="D40" i="13"/>
  <c r="G40" i="13" s="1"/>
  <c r="J40" i="13" s="1"/>
  <c r="L22" i="14"/>
  <c r="B114" i="16"/>
  <c r="D79" i="13"/>
  <c r="C93" i="13" s="1"/>
  <c r="D80" i="13"/>
  <c r="F94" i="13" s="1"/>
  <c r="D78" i="13"/>
  <c r="C92" i="13" s="1"/>
  <c r="H62" i="13"/>
  <c r="E79" i="13"/>
  <c r="E78" i="13"/>
  <c r="E77" i="13"/>
  <c r="D77" i="13"/>
  <c r="I62" i="13"/>
  <c r="I43" i="13"/>
  <c r="E80" i="13"/>
  <c r="B81" i="13"/>
  <c r="D75" i="13"/>
  <c r="E75" i="13"/>
  <c r="B76" i="13"/>
  <c r="I45" i="13"/>
  <c r="F45" i="13"/>
  <c r="G45" i="13"/>
  <c r="J45" i="13" s="1"/>
  <c r="D60" i="13"/>
  <c r="G60" i="13" s="1"/>
  <c r="H60" i="13" s="1"/>
  <c r="F39" i="13"/>
  <c r="I48" i="13"/>
  <c r="H58" i="13"/>
  <c r="I60" i="13"/>
  <c r="I58" i="13"/>
  <c r="I40" i="13"/>
  <c r="G44" i="13"/>
  <c r="J44" i="13" s="1"/>
  <c r="G41" i="13"/>
  <c r="J41" i="13" s="1"/>
  <c r="F41" i="13"/>
  <c r="I41" i="13"/>
  <c r="F44" i="13"/>
  <c r="G43" i="13"/>
  <c r="J43" i="13" s="1"/>
  <c r="F43" i="13"/>
  <c r="I44" i="13"/>
  <c r="F40" i="13"/>
  <c r="G46" i="13"/>
  <c r="J46" i="13" s="1"/>
  <c r="D63" i="13"/>
  <c r="G63" i="13" s="1"/>
  <c r="H63" i="13" s="1"/>
  <c r="I63" i="13"/>
  <c r="D56" i="13"/>
  <c r="G56" i="13" s="1"/>
  <c r="H56" i="13" s="1"/>
  <c r="I56" i="13"/>
  <c r="I61" i="13"/>
  <c r="D61" i="13"/>
  <c r="G61" i="13" s="1"/>
  <c r="H61" i="13" s="1"/>
  <c r="I65" i="13"/>
  <c r="D65" i="13"/>
  <c r="G65" i="13" s="1"/>
  <c r="H65" i="13" s="1"/>
  <c r="F48" i="13"/>
  <c r="G48" i="13"/>
  <c r="J48" i="13" s="1"/>
  <c r="I57" i="13"/>
  <c r="D57" i="13"/>
  <c r="G57" i="13" s="1"/>
  <c r="H57" i="13" s="1"/>
  <c r="I42" i="13"/>
  <c r="I59" i="13"/>
  <c r="D59" i="13"/>
  <c r="G59" i="13" s="1"/>
  <c r="H59" i="13" s="1"/>
  <c r="F46" i="13"/>
  <c r="I39" i="13"/>
  <c r="I46" i="13"/>
  <c r="F42" i="13"/>
  <c r="G42" i="13"/>
  <c r="J42" i="13" s="1"/>
  <c r="G39" i="13"/>
  <c r="J39" i="13" s="1"/>
  <c r="F93" i="13" l="1"/>
  <c r="C94" i="13"/>
  <c r="H105" i="13"/>
  <c r="H80" i="13"/>
  <c r="H106" i="13"/>
  <c r="L23" i="14"/>
  <c r="B117" i="16" s="1"/>
  <c r="B116" i="16"/>
  <c r="G77" i="13"/>
  <c r="F92" i="13"/>
  <c r="G106" i="13"/>
  <c r="G107" i="13"/>
  <c r="G94" i="13"/>
  <c r="G80" i="13"/>
  <c r="G78" i="13"/>
  <c r="H92" i="13"/>
  <c r="H107" i="13"/>
  <c r="G79" i="13"/>
  <c r="G93" i="13"/>
  <c r="H94" i="13"/>
  <c r="H79" i="13"/>
  <c r="H77" i="13"/>
  <c r="G105" i="13"/>
  <c r="H78" i="13"/>
  <c r="G92" i="13"/>
  <c r="H93" i="13"/>
  <c r="B90" i="13"/>
  <c r="D76" i="13"/>
  <c r="E76" i="13"/>
  <c r="G75" i="13"/>
  <c r="H89" i="13"/>
  <c r="H75" i="13"/>
  <c r="H102" i="13"/>
  <c r="C89" i="13"/>
  <c r="F89" i="13" s="1"/>
  <c r="G89" i="13" s="1"/>
  <c r="G102" i="13"/>
  <c r="C91" i="13"/>
  <c r="F91" i="13" s="1"/>
  <c r="G91" i="13" s="1"/>
  <c r="G104" i="13"/>
  <c r="H104" i="13"/>
  <c r="E81" i="13"/>
  <c r="D81" i="13"/>
  <c r="B95" i="13"/>
  <c r="H91" i="13"/>
  <c r="H67" i="13"/>
  <c r="I67" i="13"/>
  <c r="F50" i="13"/>
  <c r="I50" i="13"/>
  <c r="J50" i="13"/>
  <c r="G50" i="13"/>
  <c r="G51" i="13" l="1"/>
  <c r="F10" i="14" s="1"/>
  <c r="B63" i="16" s="1"/>
  <c r="H95" i="13"/>
  <c r="C95" i="13"/>
  <c r="G81" i="13"/>
  <c r="H81" i="13"/>
  <c r="H108" i="13"/>
  <c r="G108" i="13"/>
  <c r="F95" i="13"/>
  <c r="G95" i="13" s="1"/>
  <c r="H103" i="13"/>
  <c r="H76" i="13"/>
  <c r="G76" i="13"/>
  <c r="G103" i="13"/>
  <c r="H90" i="13"/>
  <c r="C90" i="13"/>
  <c r="F90" i="13" s="1"/>
  <c r="G90" i="13" s="1"/>
  <c r="G97" i="13" s="1"/>
  <c r="I68" i="13"/>
  <c r="F13" i="14" s="1"/>
  <c r="B66" i="16" s="1"/>
  <c r="J51" i="13"/>
  <c r="J52" i="13" s="1"/>
  <c r="F12" i="14" s="1"/>
  <c r="B65" i="16" s="1"/>
  <c r="G52" i="13" l="1"/>
  <c r="F11" i="14" s="1"/>
  <c r="H97" i="13"/>
  <c r="H98" i="13" s="1"/>
  <c r="S22" i="14" s="1"/>
  <c r="B138" i="16" s="1"/>
  <c r="H83" i="13"/>
  <c r="G83" i="13"/>
  <c r="H110" i="13"/>
  <c r="G110" i="13"/>
  <c r="F24" i="14" l="1"/>
  <c r="B77" i="16" s="1"/>
  <c r="B64" i="16"/>
  <c r="H84" i="13"/>
  <c r="S19" i="14" s="1"/>
  <c r="B135" i="16" s="1"/>
  <c r="F30" i="14"/>
  <c r="B83" i="16" s="1"/>
  <c r="F20" i="14"/>
  <c r="F28" i="14"/>
  <c r="B81" i="16" s="1"/>
  <c r="H111" i="13"/>
  <c r="H112" i="13" s="1"/>
  <c r="S21" i="14" s="1"/>
  <c r="B137" i="16" s="1"/>
  <c r="F25" i="14" l="1"/>
  <c r="B78" i="16" s="1"/>
  <c r="B73" i="16"/>
  <c r="H85" i="13"/>
  <c r="S20" i="14" s="1"/>
  <c r="F21" i="14"/>
  <c r="B74" i="16" s="1"/>
  <c r="F29" i="14"/>
  <c r="B82" i="16" s="1"/>
  <c r="S39" i="14"/>
  <c r="B155" i="16" s="1"/>
  <c r="F22" i="14"/>
  <c r="S29" i="14" l="1"/>
  <c r="B136" i="16"/>
  <c r="S33" i="14"/>
  <c r="S30" i="14"/>
  <c r="B146" i="16" s="1"/>
  <c r="S37" i="14"/>
  <c r="F32" i="14"/>
  <c r="F33" i="14" s="1"/>
  <c r="B75" i="16"/>
  <c r="S38" i="14" l="1"/>
  <c r="B154" i="16" s="1"/>
  <c r="B153" i="16"/>
  <c r="S34" i="14"/>
  <c r="B150" i="16" s="1"/>
  <c r="B149" i="16"/>
  <c r="S31" i="14"/>
  <c r="B147" i="16" s="1"/>
  <c r="B145" i="16"/>
  <c r="F36" i="14"/>
  <c r="B89" i="16"/>
  <c r="D36" i="15"/>
  <c r="F36" i="15" s="1"/>
  <c r="B86" i="16"/>
  <c r="S41" i="14" l="1"/>
  <c r="F37" i="14"/>
  <c r="B92" i="16" s="1"/>
  <c r="B91" i="16"/>
  <c r="B158" i="16" l="1"/>
  <c r="D38" i="15"/>
  <c r="F38" i="15" s="1"/>
  <c r="S42" i="14"/>
  <c r="S45" i="14" l="1"/>
  <c r="B161" i="16"/>
  <c r="S46" i="14" l="1"/>
  <c r="B164" i="16" s="1"/>
  <c r="B163" i="16"/>
</calcChain>
</file>

<file path=xl/comments1.xml><?xml version="1.0" encoding="utf-8"?>
<comments xmlns="http://schemas.openxmlformats.org/spreadsheetml/2006/main">
  <authors>
    <author>Wilmar van Moorsel</author>
  </authors>
  <commentList>
    <comment ref="L35" authorId="0" shapeId="0">
      <text>
        <r>
          <rPr>
            <b/>
            <sz val="9"/>
            <color indexed="81"/>
            <rFont val="Tahoma"/>
            <family val="2"/>
          </rPr>
          <t>Wilmar van Moorsel:</t>
        </r>
        <r>
          <rPr>
            <sz val="9"/>
            <color indexed="81"/>
            <rFont val="Tahoma"/>
            <family val="2"/>
          </rPr>
          <t xml:space="preserve">
De grootste horizontale belasting ontstaat als alle belastingen in dezelfde richting werken. De grootste waarde van de schuine reep trek grijpt dus aan in de richting van de wind.</t>
        </r>
      </text>
    </comment>
  </commentList>
</comments>
</file>

<file path=xl/connections.xml><?xml version="1.0" encoding="utf-8"?>
<connections xmlns="http://schemas.openxmlformats.org/spreadsheetml/2006/main">
  <connection id="1" keepAlive="1" name="Query - Hamers en trilblokken(1)" description="Verbinding maken met de query Hamers en trilblokken in de werkmap." type="5" refreshedVersion="6" background="1" refreshOnLoad="1" saveData="1">
    <dbPr connection="Provider=Microsoft.Mashup.OleDb.1;Data Source=$Workbook$;Location=Hamers en trilblokken;Extended Properties=&quot;&quot;" command="SELECT * FROM [Hamers en trilblokken]"/>
  </connection>
  <connection id="2" keepAlive="1" name="Query - Kranen" description="Verbinding maken met de query Kranen in de werkmap." type="5" refreshedVersion="6" background="1" refreshOnLoad="1" saveData="1">
    <dbPr connection="Provider=Microsoft.Mashup.OleDb.1;Data Source=$Workbook$;Location=Kranen;Extended Properties=&quot;&quot;" command="SELECT * FROM [Kranen]"/>
  </connection>
  <connection id="3" keepAlive="1" name="Query - Schotten" description="Verbinding maken met de query Schotten in de werkmap." type="5" refreshedVersion="6" background="1" refreshOnLoad="1" saveData="1">
    <dbPr connection="Provider=Microsoft.Mashup.OleDb.1;Data Source=$Workbook$;Location=Schotten;Extended Properties=&quot;&quot;" command="SELECT * FROM [Schotten]"/>
  </connection>
</connections>
</file>

<file path=xl/sharedStrings.xml><?xml version="1.0" encoding="utf-8"?>
<sst xmlns="http://schemas.openxmlformats.org/spreadsheetml/2006/main" count="1467" uniqueCount="639">
  <si>
    <t>Kraan:</t>
  </si>
  <si>
    <t>Spoorbreedte</t>
  </si>
  <si>
    <t>m</t>
  </si>
  <si>
    <t>Wielbasis</t>
  </si>
  <si>
    <t>rubsbladbreedte</t>
  </si>
  <si>
    <t>mm</t>
  </si>
  <si>
    <t>Zwaartepunten:</t>
  </si>
  <si>
    <t>Onderwagen</t>
  </si>
  <si>
    <t>-</t>
  </si>
  <si>
    <t>Bovenwagen</t>
  </si>
  <si>
    <t>Aggregaat</t>
  </si>
  <si>
    <t>Giek</t>
  </si>
  <si>
    <t>Schuifpoot</t>
  </si>
  <si>
    <t>Makelaar</t>
  </si>
  <si>
    <t>Makelaarskop</t>
  </si>
  <si>
    <t>Hijblok/boormotor</t>
  </si>
  <si>
    <t>Schuine reeptrek</t>
  </si>
  <si>
    <t>Rand artikelen:</t>
  </si>
  <si>
    <t>Schottenveld</t>
  </si>
  <si>
    <t>Paal</t>
  </si>
  <si>
    <t>Paalmuts</t>
  </si>
  <si>
    <t>Gebruik schotten:</t>
  </si>
  <si>
    <t>Nee</t>
  </si>
  <si>
    <t>Ja</t>
  </si>
  <si>
    <t>Funderingsoppervlak wordt bepaald door de schotten</t>
  </si>
  <si>
    <t>Funderingsoppervlak wordt bepaald door de rubsen</t>
  </si>
  <si>
    <t>Afmeting schotten:</t>
  </si>
  <si>
    <t>Lengte</t>
  </si>
  <si>
    <t>Breedte</t>
  </si>
  <si>
    <t>Gewicht</t>
  </si>
  <si>
    <t>kg</t>
  </si>
  <si>
    <t>Omgeving:</t>
  </si>
  <si>
    <t>Risico:</t>
  </si>
  <si>
    <t>RC2</t>
  </si>
  <si>
    <t>RC1</t>
  </si>
  <si>
    <t>Gering risico, verwaarloosbare gevolgen; Landbouwgrond of opslagschuren.</t>
  </si>
  <si>
    <t>Matig risico, aanzienlijke gevolgen; Woon- en kantoorgebouwen, openbare gebouwen.</t>
  </si>
  <si>
    <t>RC3</t>
  </si>
  <si>
    <t>Groot risico, zeer grote gevolgen; Tribunes, concertzaal.</t>
  </si>
  <si>
    <t>Algemeen wind</t>
  </si>
  <si>
    <t>winddruk</t>
  </si>
  <si>
    <t>kN/m²</t>
  </si>
  <si>
    <t>windhoek</t>
  </si>
  <si>
    <t>graden</t>
  </si>
  <si>
    <t>compontent</t>
  </si>
  <si>
    <t>data invoer</t>
  </si>
  <si>
    <t>richting</t>
  </si>
  <si>
    <t>verticale belasting</t>
  </si>
  <si>
    <t>x</t>
  </si>
  <si>
    <t>y</t>
  </si>
  <si>
    <t>Vrep</t>
  </si>
  <si>
    <t>Hrep</t>
  </si>
  <si>
    <r>
      <t>A</t>
    </r>
    <r>
      <rPr>
        <vertAlign val="subscript"/>
        <sz val="10"/>
        <rFont val="Arial"/>
        <family val="2"/>
      </rPr>
      <t>wind;eff;//</t>
    </r>
  </si>
  <si>
    <r>
      <t>A</t>
    </r>
    <r>
      <rPr>
        <vertAlign val="subscript"/>
        <sz val="10"/>
        <rFont val="Calibri Light"/>
        <family val="2"/>
      </rPr>
      <t>wind;eff;</t>
    </r>
    <r>
      <rPr>
        <vertAlign val="subscript"/>
        <sz val="10"/>
        <rFont val="Symbol"/>
        <family val="1"/>
        <charset val="2"/>
      </rPr>
      <t>^</t>
    </r>
  </si>
  <si>
    <t>Cf</t>
  </si>
  <si>
    <r>
      <rPr>
        <sz val="10"/>
        <rFont val="Symbol"/>
        <family val="1"/>
        <charset val="2"/>
      </rPr>
      <t>g</t>
    </r>
    <r>
      <rPr>
        <vertAlign val="subscript"/>
        <sz val="10"/>
        <rFont val="Arial"/>
        <family val="2"/>
      </rPr>
      <t>Gresp</t>
    </r>
  </si>
  <si>
    <t>e</t>
  </si>
  <si>
    <t>Vd</t>
  </si>
  <si>
    <t>Hd;//</t>
  </si>
  <si>
    <r>
      <t>Hd;</t>
    </r>
    <r>
      <rPr>
        <sz val="8"/>
        <rFont val="Symbol"/>
        <family val="1"/>
        <charset val="2"/>
      </rPr>
      <t>^</t>
    </r>
  </si>
  <si>
    <t>Md;v</t>
  </si>
  <si>
    <t>Md;H//</t>
  </si>
  <si>
    <r>
      <t>Md;H</t>
    </r>
    <r>
      <rPr>
        <sz val="8"/>
        <rFont val="Symbol"/>
        <family val="1"/>
        <charset val="2"/>
      </rPr>
      <t>^</t>
    </r>
  </si>
  <si>
    <t>kN</t>
  </si>
  <si>
    <t>m²</t>
  </si>
  <si>
    <r>
      <rPr>
        <sz val="10"/>
        <rFont val="Symbol"/>
        <family val="1"/>
        <charset val="2"/>
      </rPr>
      <t>g</t>
    </r>
    <r>
      <rPr>
        <vertAlign val="subscript"/>
        <sz val="10"/>
        <rFont val="Arial"/>
        <family val="2"/>
      </rPr>
      <t>Q</t>
    </r>
  </si>
  <si>
    <t>kNm</t>
  </si>
  <si>
    <t>schottenbed</t>
  </si>
  <si>
    <t>V</t>
  </si>
  <si>
    <t>H</t>
  </si>
  <si>
    <t>onderwagen</t>
  </si>
  <si>
    <t>bovenwagen</t>
  </si>
  <si>
    <t>aggregaat</t>
  </si>
  <si>
    <t>giek</t>
  </si>
  <si>
    <t>schuifpoot</t>
  </si>
  <si>
    <t>makelaar</t>
  </si>
  <si>
    <t>makelaarskop</t>
  </si>
  <si>
    <t>heiblok</t>
  </si>
  <si>
    <t>paalmuts</t>
  </si>
  <si>
    <t>paal/buis</t>
  </si>
  <si>
    <t>grondwrijving</t>
  </si>
  <si>
    <t>schuine reeptrek</t>
  </si>
  <si>
    <t>totaal</t>
  </si>
  <si>
    <r>
      <t>e</t>
    </r>
    <r>
      <rPr>
        <vertAlign val="subscript"/>
        <sz val="10"/>
        <rFont val="Arial"/>
        <family val="2"/>
      </rPr>
      <t>CoG;x</t>
    </r>
    <r>
      <rPr>
        <sz val="10"/>
        <rFont val="Arial"/>
        <family val="2"/>
      </rPr>
      <t xml:space="preserve"> = (</t>
    </r>
    <r>
      <rPr>
        <sz val="10"/>
        <rFont val="Symbol"/>
        <family val="1"/>
        <charset val="2"/>
      </rPr>
      <t>å</t>
    </r>
    <r>
      <rPr>
        <sz val="10"/>
        <rFont val="Arial"/>
        <family val="2"/>
      </rPr>
      <t>V</t>
    </r>
    <r>
      <rPr>
        <vertAlign val="subscript"/>
        <sz val="10"/>
        <rFont val="Arial"/>
        <family val="2"/>
      </rPr>
      <t>i</t>
    </r>
    <r>
      <rPr>
        <sz val="10"/>
        <rFont val="Arial"/>
        <family val="2"/>
      </rPr>
      <t>*e</t>
    </r>
    <r>
      <rPr>
        <vertAlign val="subscript"/>
        <sz val="10"/>
        <rFont val="Arial"/>
        <family val="2"/>
      </rPr>
      <t xml:space="preserve">i </t>
    </r>
    <r>
      <rPr>
        <sz val="10"/>
        <rFont val="Arial"/>
        <family val="2"/>
      </rPr>
      <t xml:space="preserve">+ </t>
    </r>
    <r>
      <rPr>
        <sz val="10"/>
        <rFont val="Symbol"/>
        <family val="1"/>
        <charset val="2"/>
      </rPr>
      <t>å</t>
    </r>
    <r>
      <rPr>
        <sz val="10"/>
        <rFont val="Arial"/>
        <family val="2"/>
      </rPr>
      <t>H</t>
    </r>
    <r>
      <rPr>
        <vertAlign val="subscript"/>
        <sz val="10"/>
        <rFont val="Arial"/>
        <family val="2"/>
      </rPr>
      <t xml:space="preserve">i </t>
    </r>
    <r>
      <rPr>
        <sz val="10"/>
        <rFont val="Arial"/>
        <family val="2"/>
      </rPr>
      <t>* e) / V</t>
    </r>
    <r>
      <rPr>
        <vertAlign val="subscript"/>
        <sz val="10"/>
        <rFont val="Arial"/>
        <family val="2"/>
      </rPr>
      <t>i</t>
    </r>
  </si>
  <si>
    <r>
      <t>e</t>
    </r>
    <r>
      <rPr>
        <vertAlign val="subscript"/>
        <sz val="10"/>
        <rFont val="Arial"/>
        <family val="2"/>
      </rPr>
      <t>CoG;y</t>
    </r>
    <r>
      <rPr>
        <sz val="10"/>
        <rFont val="Arial"/>
        <family val="2"/>
      </rPr>
      <t xml:space="preserve"> = (</t>
    </r>
    <r>
      <rPr>
        <sz val="10"/>
        <rFont val="Symbol"/>
        <family val="1"/>
        <charset val="2"/>
      </rPr>
      <t>å</t>
    </r>
    <r>
      <rPr>
        <sz val="10"/>
        <rFont val="Arial"/>
        <family val="2"/>
      </rPr>
      <t>H</t>
    </r>
    <r>
      <rPr>
        <vertAlign val="subscript"/>
        <sz val="10"/>
        <rFont val="Arial"/>
        <family val="2"/>
      </rPr>
      <t xml:space="preserve">i </t>
    </r>
    <r>
      <rPr>
        <sz val="10"/>
        <rFont val="Arial"/>
        <family val="2"/>
      </rPr>
      <t>* e) / V</t>
    </r>
    <r>
      <rPr>
        <vertAlign val="subscript"/>
        <sz val="10"/>
        <rFont val="Arial"/>
        <family val="2"/>
      </rPr>
      <t>i</t>
    </r>
  </si>
  <si>
    <t>Schotten</t>
  </si>
  <si>
    <r>
      <t>V</t>
    </r>
    <r>
      <rPr>
        <sz val="8"/>
        <rFont val="Arial"/>
        <family val="2"/>
      </rPr>
      <t xml:space="preserve">rep </t>
    </r>
    <r>
      <rPr>
        <sz val="7"/>
        <rFont val="Arial"/>
        <family val="2"/>
      </rPr>
      <t>Schotten</t>
    </r>
  </si>
  <si>
    <r>
      <t>e</t>
    </r>
    <r>
      <rPr>
        <vertAlign val="subscript"/>
        <sz val="10"/>
        <rFont val="Arial"/>
        <family val="2"/>
      </rPr>
      <t>CoG</t>
    </r>
    <r>
      <rPr>
        <sz val="10"/>
        <rFont val="Arial"/>
        <family val="2"/>
      </rPr>
      <t xml:space="preserve"> = </t>
    </r>
    <r>
      <rPr>
        <sz val="10"/>
        <rFont val="Calibri"/>
        <family val="2"/>
      </rPr>
      <t>√(e</t>
    </r>
    <r>
      <rPr>
        <vertAlign val="subscript"/>
        <sz val="10"/>
        <rFont val="Calibri"/>
        <family val="2"/>
      </rPr>
      <t>CoG;x</t>
    </r>
    <r>
      <rPr>
        <sz val="10"/>
        <rFont val="Calibri"/>
        <family val="2"/>
      </rPr>
      <t>² + e</t>
    </r>
    <r>
      <rPr>
        <vertAlign val="subscript"/>
        <sz val="10"/>
        <rFont val="Calibri"/>
        <family val="2"/>
      </rPr>
      <t>CoG;y</t>
    </r>
    <r>
      <rPr>
        <sz val="10"/>
        <rFont val="Calibri"/>
        <family val="2"/>
      </rPr>
      <t>²)</t>
    </r>
  </si>
  <si>
    <r>
      <t>Hd= √(Hd;</t>
    </r>
    <r>
      <rPr>
        <sz val="8"/>
        <rFont val="Arial"/>
        <family val="2"/>
      </rPr>
      <t>//</t>
    </r>
    <r>
      <rPr>
        <sz val="10"/>
        <rFont val="Arial"/>
        <family val="2"/>
      </rPr>
      <t>² + Hd;</t>
    </r>
    <r>
      <rPr>
        <sz val="6"/>
        <rFont val="Symbol"/>
        <family val="1"/>
        <charset val="2"/>
      </rPr>
      <t>^</t>
    </r>
    <r>
      <rPr>
        <sz val="10"/>
        <rFont val="Arial"/>
        <family val="2"/>
      </rPr>
      <t>²)</t>
    </r>
  </si>
  <si>
    <r>
      <t>Md= √(Md;</t>
    </r>
    <r>
      <rPr>
        <sz val="8"/>
        <rFont val="Arial"/>
        <family val="2"/>
      </rPr>
      <t>V</t>
    </r>
    <r>
      <rPr>
        <sz val="10"/>
        <rFont val="Arial"/>
        <family val="2"/>
      </rPr>
      <t>² + (√(Md;</t>
    </r>
    <r>
      <rPr>
        <sz val="8"/>
        <rFont val="Arial"/>
        <family val="2"/>
      </rPr>
      <t>//</t>
    </r>
    <r>
      <rPr>
        <sz val="10"/>
        <rFont val="Arial"/>
        <family val="2"/>
      </rPr>
      <t>² + Md;</t>
    </r>
    <r>
      <rPr>
        <sz val="6"/>
        <rFont val="Symbol"/>
        <family val="1"/>
        <charset val="2"/>
      </rPr>
      <t>^</t>
    </r>
    <r>
      <rPr>
        <sz val="10"/>
        <rFont val="Arial"/>
        <family val="2"/>
      </rPr>
      <t>²))²)</t>
    </r>
  </si>
  <si>
    <t>Hoek eCoG t.o.v. lengteas bovenwagen</t>
  </si>
  <si>
    <t>Rotatie bovenwagen:</t>
  </si>
  <si>
    <t>Rotatie zwaartepunt</t>
  </si>
  <si>
    <t>eCoG lengte x</t>
  </si>
  <si>
    <t>Ftotaal=</t>
  </si>
  <si>
    <t>eCoG lengte z</t>
  </si>
  <si>
    <t>Waarde P</t>
  </si>
  <si>
    <r>
      <t>Oppervlakte A</t>
    </r>
    <r>
      <rPr>
        <sz val="8"/>
        <rFont val="Arial"/>
        <family val="2"/>
      </rPr>
      <t>AB</t>
    </r>
    <r>
      <rPr>
        <sz val="10"/>
        <rFont val="Arial"/>
        <family val="2"/>
      </rPr>
      <t>/A</t>
    </r>
    <r>
      <rPr>
        <sz val="8"/>
        <rFont val="Arial"/>
        <family val="2"/>
      </rPr>
      <t>CD</t>
    </r>
  </si>
  <si>
    <t>l'</t>
  </si>
  <si>
    <t>Spoorbreedte:</t>
  </si>
  <si>
    <t>A'</t>
  </si>
  <si>
    <t>Afstand Ftot tot kantellijn:</t>
  </si>
  <si>
    <r>
      <rPr>
        <sz val="16"/>
        <rFont val="Calibri"/>
        <family val="2"/>
      </rPr>
      <t>σ</t>
    </r>
    <r>
      <rPr>
        <sz val="10"/>
        <rFont val="Calibri"/>
        <family val="2"/>
      </rPr>
      <t>=</t>
    </r>
  </si>
  <si>
    <r>
      <t>A</t>
    </r>
    <r>
      <rPr>
        <sz val="8"/>
        <rFont val="Arial"/>
        <family val="2"/>
      </rPr>
      <t>AB</t>
    </r>
    <r>
      <rPr>
        <sz val="10"/>
        <rFont val="Arial"/>
        <family val="2"/>
      </rPr>
      <t xml:space="preserve"> en A</t>
    </r>
    <r>
      <rPr>
        <sz val="8"/>
        <rFont val="Arial"/>
        <family val="2"/>
      </rPr>
      <t>CD</t>
    </r>
    <r>
      <rPr>
        <sz val="10"/>
        <rFont val="Arial"/>
        <family val="2"/>
      </rPr>
      <t>:</t>
    </r>
  </si>
  <si>
    <t>b'=</t>
  </si>
  <si>
    <t>Druk AB en CD</t>
  </si>
  <si>
    <t>Verhouding e/d:</t>
  </si>
  <si>
    <t>waarde c</t>
  </si>
  <si>
    <r>
      <rPr>
        <sz val="16"/>
        <rFont val="Calibri"/>
        <family val="2"/>
      </rPr>
      <t>σ</t>
    </r>
    <r>
      <rPr>
        <sz val="8"/>
        <rFont val="Calibri"/>
        <family val="2"/>
      </rPr>
      <t>2</t>
    </r>
    <r>
      <rPr>
        <sz val="10"/>
        <rFont val="Calibri"/>
        <family val="2"/>
      </rPr>
      <t>=</t>
    </r>
  </si>
  <si>
    <r>
      <t>e</t>
    </r>
    <r>
      <rPr>
        <sz val="8"/>
        <rFont val="Arial"/>
        <family val="2"/>
      </rPr>
      <t>AB</t>
    </r>
  </si>
  <si>
    <r>
      <t>e</t>
    </r>
    <r>
      <rPr>
        <sz val="8"/>
        <rFont val="Arial"/>
        <family val="2"/>
      </rPr>
      <t>CD</t>
    </r>
  </si>
  <si>
    <t>Fab=</t>
  </si>
  <si>
    <t>Fcd=</t>
  </si>
  <si>
    <r>
      <rPr>
        <sz val="16"/>
        <rFont val="Calibri"/>
        <family val="2"/>
      </rPr>
      <t>σ</t>
    </r>
    <r>
      <rPr>
        <sz val="8"/>
        <rFont val="Calibri"/>
        <family val="2"/>
      </rPr>
      <t>AB</t>
    </r>
    <r>
      <rPr>
        <sz val="10"/>
        <rFont val="Calibri"/>
        <family val="2"/>
      </rPr>
      <t>=</t>
    </r>
  </si>
  <si>
    <r>
      <rPr>
        <sz val="16"/>
        <rFont val="Calibri"/>
        <family val="2"/>
      </rPr>
      <t>σ</t>
    </r>
    <r>
      <rPr>
        <sz val="8"/>
        <rFont val="Calibri"/>
        <family val="2"/>
      </rPr>
      <t>CD</t>
    </r>
    <r>
      <rPr>
        <sz val="10"/>
        <rFont val="Calibri"/>
        <family val="2"/>
      </rPr>
      <t>=</t>
    </r>
  </si>
  <si>
    <t>Grootste waarde:</t>
  </si>
  <si>
    <t>Met schotten</t>
  </si>
  <si>
    <t>Hart machine-schottenveld</t>
  </si>
  <si>
    <t>l'=</t>
  </si>
  <si>
    <t>A'=</t>
  </si>
  <si>
    <t>Som van de verticale belastingen</t>
  </si>
  <si>
    <t>resultante van de horizontale belastingen</t>
  </si>
  <si>
    <r>
      <t>H</t>
    </r>
    <r>
      <rPr>
        <vertAlign val="subscript"/>
        <sz val="10"/>
        <rFont val="Arial"/>
        <family val="2"/>
      </rPr>
      <t>d</t>
    </r>
  </si>
  <si>
    <t>resultante van de kantelmomenten</t>
  </si>
  <si>
    <r>
      <t>M</t>
    </r>
    <r>
      <rPr>
        <vertAlign val="subscript"/>
        <sz val="10"/>
        <rFont val="Arial"/>
        <family val="2"/>
      </rPr>
      <t>d</t>
    </r>
  </si>
  <si>
    <t>overall excentriciteit</t>
  </si>
  <si>
    <r>
      <t>e</t>
    </r>
    <r>
      <rPr>
        <vertAlign val="subscript"/>
        <sz val="10"/>
        <rFont val="Arial"/>
        <family val="2"/>
      </rPr>
      <t>CoG</t>
    </r>
  </si>
  <si>
    <t>excentriciteitshoek</t>
  </si>
  <si>
    <r>
      <rPr>
        <sz val="10"/>
        <rFont val="Symbol"/>
        <family val="1"/>
        <charset val="2"/>
      </rPr>
      <t>d</t>
    </r>
    <r>
      <rPr>
        <vertAlign val="subscript"/>
        <sz val="10"/>
        <rFont val="Arial"/>
        <family val="2"/>
      </rPr>
      <t>CoG</t>
    </r>
    <r>
      <rPr>
        <sz val="10"/>
        <rFont val="Arial"/>
        <family val="2"/>
      </rPr>
      <t xml:space="preserve"> - </t>
    </r>
    <r>
      <rPr>
        <sz val="10"/>
        <rFont val="Symbol"/>
        <family val="1"/>
        <charset val="2"/>
      </rPr>
      <t>d</t>
    </r>
    <r>
      <rPr>
        <vertAlign val="subscript"/>
        <sz val="10"/>
        <rFont val="Arial"/>
        <family val="2"/>
      </rPr>
      <t>BW</t>
    </r>
  </si>
  <si>
    <t>maatgevende rotatie zwaartepunt</t>
  </si>
  <si>
    <r>
      <rPr>
        <sz val="10"/>
        <rFont val="Symbol"/>
        <family val="1"/>
        <charset val="2"/>
      </rPr>
      <t>d</t>
    </r>
    <r>
      <rPr>
        <vertAlign val="subscript"/>
        <sz val="10"/>
        <rFont val="Arial"/>
        <family val="2"/>
      </rPr>
      <t>CoG</t>
    </r>
  </si>
  <si>
    <t>maatgevende rotatie bovenwagen</t>
  </si>
  <si>
    <r>
      <rPr>
        <sz val="10"/>
        <rFont val="Symbol"/>
        <family val="1"/>
        <charset val="2"/>
      </rPr>
      <t>d</t>
    </r>
    <r>
      <rPr>
        <vertAlign val="subscript"/>
        <sz val="10"/>
        <rFont val="Arial"/>
        <family val="2"/>
      </rPr>
      <t>BW</t>
    </r>
  </si>
  <si>
    <t>effectieve funderingslengte</t>
  </si>
  <si>
    <t>I'</t>
  </si>
  <si>
    <t>effectieve funderingsbreedte</t>
  </si>
  <si>
    <t>b '</t>
  </si>
  <si>
    <t>effectieve funderingsoppervlak</t>
  </si>
  <si>
    <t>A '</t>
  </si>
  <si>
    <t>rekenwaarde grondspanning</t>
  </si>
  <si>
    <r>
      <rPr>
        <sz val="10"/>
        <rFont val="Symbol"/>
        <family val="1"/>
        <charset val="2"/>
      </rPr>
      <t>s</t>
    </r>
    <r>
      <rPr>
        <sz val="10"/>
        <rFont val="Arial"/>
        <family val="2"/>
      </rPr>
      <t>'</t>
    </r>
    <r>
      <rPr>
        <vertAlign val="subscript"/>
        <sz val="10"/>
        <rFont val="Arial"/>
        <family val="2"/>
      </rPr>
      <t>max;d</t>
    </r>
  </si>
  <si>
    <t>Belasting in kN:</t>
  </si>
  <si>
    <t>Locatie X-as in meters:</t>
  </si>
  <si>
    <t>Locatie Y-as in meters:</t>
  </si>
  <si>
    <t>Wind opp. // in m2</t>
  </si>
  <si>
    <r>
      <t xml:space="preserve">Wind opp. </t>
    </r>
    <r>
      <rPr>
        <sz val="10"/>
        <rFont val="Symbol"/>
        <family val="1"/>
        <charset val="2"/>
      </rPr>
      <t xml:space="preserve">^ </t>
    </r>
    <r>
      <rPr>
        <sz val="10"/>
        <rFont val="Arial"/>
        <family val="2"/>
      </rPr>
      <t>in m2</t>
    </r>
  </si>
  <si>
    <t>Samenvatting:</t>
  </si>
  <si>
    <t>Rekentabel volgens boek 'Begaanbaarheid van bouwterreinen'</t>
  </si>
  <si>
    <t>Piekbelasting</t>
  </si>
  <si>
    <r>
      <rPr>
        <sz val="16"/>
        <rFont val="Calibri"/>
        <family val="2"/>
      </rPr>
      <t>σ</t>
    </r>
    <r>
      <rPr>
        <sz val="8"/>
        <rFont val="Calibri"/>
        <family val="2"/>
      </rPr>
      <t>1</t>
    </r>
    <r>
      <rPr>
        <sz val="10"/>
        <rFont val="Calibri"/>
        <family val="2"/>
      </rPr>
      <t>=</t>
    </r>
  </si>
  <si>
    <t>verd. Belasting</t>
  </si>
  <si>
    <t>verd. belasting</t>
  </si>
  <si>
    <t>Grondeigenschappen:</t>
  </si>
  <si>
    <t>Drainage:</t>
  </si>
  <si>
    <t>Geponst ongedraineerd</t>
  </si>
  <si>
    <t>Cohesieve grond, tijdens belasten wateroverspanningen.</t>
  </si>
  <si>
    <t>Dunne zandlaag op cohesieve laag, invloedsdiepte reikt tot cohesieve laag.</t>
  </si>
  <si>
    <t>Gedraineerd</t>
  </si>
  <si>
    <t>Geen cohesieve laag binnen de invloedsdiepte.</t>
  </si>
  <si>
    <t>Waterstand:</t>
  </si>
  <si>
    <t>Maaiveld hoogte:</t>
  </si>
  <si>
    <t>m+NAP</t>
  </si>
  <si>
    <t>Toelichting:</t>
  </si>
  <si>
    <t>Blauw</t>
  </si>
  <si>
    <t>Groen</t>
  </si>
  <si>
    <t>Geel</t>
  </si>
  <si>
    <t>Rood</t>
  </si>
  <si>
    <t>Invulwaardes</t>
  </si>
  <si>
    <t>Gekozen waardes</t>
  </si>
  <si>
    <t>Berekende waardes</t>
  </si>
  <si>
    <t>Nog te wijzigen waardes</t>
  </si>
  <si>
    <t>Breedte rups:</t>
  </si>
  <si>
    <t>Lengte rups:</t>
  </si>
  <si>
    <t>[-]</t>
  </si>
  <si>
    <t>Randafst. rups-schottenveld</t>
  </si>
  <si>
    <r>
      <t>A</t>
    </r>
    <r>
      <rPr>
        <sz val="8"/>
        <rFont val="Arial"/>
        <family val="2"/>
      </rPr>
      <t>effectief</t>
    </r>
  </si>
  <si>
    <t>afmeting</t>
  </si>
  <si>
    <t>belasting/verk.m.</t>
  </si>
  <si>
    <t>Zand</t>
  </si>
  <si>
    <t>Leem</t>
  </si>
  <si>
    <t>Klei</t>
  </si>
  <si>
    <t>Veen</t>
  </si>
  <si>
    <t>Geponst gedraineerd</t>
  </si>
  <si>
    <t>Hd</t>
  </si>
  <si>
    <r>
      <rPr>
        <b/>
        <sz val="12"/>
        <rFont val="Calibri"/>
        <family val="2"/>
      </rPr>
      <t>ϕ</t>
    </r>
    <r>
      <rPr>
        <sz val="10"/>
        <rFont val="Arial"/>
        <family val="2"/>
      </rPr>
      <t>'gem;d</t>
    </r>
    <r>
      <rPr>
        <sz val="8"/>
        <rFont val="Arial"/>
        <family val="2"/>
      </rPr>
      <t xml:space="preserve"> </t>
    </r>
  </si>
  <si>
    <t>Nc</t>
  </si>
  <si>
    <t>Nq</t>
  </si>
  <si>
    <t>Ny'</t>
  </si>
  <si>
    <t>sq</t>
  </si>
  <si>
    <t>iq</t>
  </si>
  <si>
    <t>ic</t>
  </si>
  <si>
    <t>sc</t>
  </si>
  <si>
    <t xml:space="preserve">m </t>
  </si>
  <si>
    <t>°</t>
  </si>
  <si>
    <t>Controle: spoorbreedte =</t>
  </si>
  <si>
    <t>eCoG</t>
  </si>
  <si>
    <t>m tov NAP</t>
  </si>
  <si>
    <t>Naam/type</t>
  </si>
  <si>
    <t>Naam</t>
  </si>
  <si>
    <t>gewicht</t>
  </si>
  <si>
    <t>Loc.X-as</t>
  </si>
  <si>
    <t>Loc.Y-as</t>
  </si>
  <si>
    <t>Wind //</t>
  </si>
  <si>
    <t xml:space="preserve">Wind ^ </t>
  </si>
  <si>
    <t>Drukmaterieel</t>
  </si>
  <si>
    <t>ABI HPZ 630-700</t>
  </si>
  <si>
    <t>5225 3-5</t>
  </si>
  <si>
    <t>HQP 700</t>
  </si>
  <si>
    <t>5225 6-7</t>
  </si>
  <si>
    <t>HQP 800</t>
  </si>
  <si>
    <t>HDP</t>
  </si>
  <si>
    <t>Trilblokken</t>
  </si>
  <si>
    <t>ICE 428B</t>
  </si>
  <si>
    <t>ICE 8RF</t>
  </si>
  <si>
    <t>ICE 520</t>
  </si>
  <si>
    <t>ICE 116</t>
  </si>
  <si>
    <t>Nierstrasz M12</t>
  </si>
  <si>
    <t>PVE 25M</t>
  </si>
  <si>
    <t>PVE 2520</t>
  </si>
  <si>
    <t>ICE 815C</t>
  </si>
  <si>
    <t>PVE 2310VM</t>
  </si>
  <si>
    <t>PVE 2315VMA</t>
  </si>
  <si>
    <t>PVE 2316VM</t>
  </si>
  <si>
    <t>ICE 18RF</t>
  </si>
  <si>
    <t>PVE 2319VMA</t>
  </si>
  <si>
    <t>ICE 23RF</t>
  </si>
  <si>
    <t>ICE 28RF</t>
  </si>
  <si>
    <t>ABI MRZV-30V</t>
  </si>
  <si>
    <t>PVE 23VMA</t>
  </si>
  <si>
    <t>PVE 2335VM</t>
  </si>
  <si>
    <t>ICE 36RF</t>
  </si>
  <si>
    <t>ICE 46RF</t>
  </si>
  <si>
    <t>PVE 2350VM</t>
  </si>
  <si>
    <t>Heiblokken Hydraulisch</t>
  </si>
  <si>
    <t>Pilemer DKH4L</t>
  </si>
  <si>
    <t>IHC S-90</t>
  </si>
  <si>
    <t>Junttan HHK5</t>
  </si>
  <si>
    <t>Junttan HHK6</t>
  </si>
  <si>
    <t>Junttan HHK7</t>
  </si>
  <si>
    <t>4021-5</t>
  </si>
  <si>
    <t>Junttan HHK9</t>
  </si>
  <si>
    <t>Junttan HHK12</t>
  </si>
  <si>
    <t>Heiblokken Diesel</t>
  </si>
  <si>
    <t>HERA H3500</t>
  </si>
  <si>
    <t>Delmag D46-13</t>
  </si>
  <si>
    <t>Delmag D55</t>
  </si>
  <si>
    <t>Delmag D62</t>
  </si>
  <si>
    <t>4071-1</t>
  </si>
  <si>
    <t>Delmag D80-23</t>
  </si>
  <si>
    <t>4071-2</t>
  </si>
  <si>
    <t>Delmag D100-13</t>
  </si>
  <si>
    <t>Blok/Motor:</t>
  </si>
  <si>
    <t>Element lengte:</t>
  </si>
  <si>
    <t>Soort:</t>
  </si>
  <si>
    <t>Azobé 5x1x0,15</t>
  </si>
  <si>
    <t>Azobé 5x1x0,2</t>
  </si>
  <si>
    <t>Azobé 5x1x0,25</t>
  </si>
  <si>
    <t>Azobé 5x1x0,3</t>
  </si>
  <si>
    <t>Azobé 6x1x0,15</t>
  </si>
  <si>
    <t>Azobé 6x1x0,2</t>
  </si>
  <si>
    <t>Azobé 7x1x0,2</t>
  </si>
  <si>
    <t>Azobé 8x1x0,2</t>
  </si>
  <si>
    <t>Azobé+st.kop 8x1x0,25</t>
  </si>
  <si>
    <t>Azobé 8x1x0,25</t>
  </si>
  <si>
    <t>Azobé+st.kop 8x1x0,3</t>
  </si>
  <si>
    <t>Azobé 9x1x0,25</t>
  </si>
  <si>
    <t>Azobé 10x1x0,25</t>
  </si>
  <si>
    <t>Azobé+st.kop 10x1x0,3</t>
  </si>
  <si>
    <t>Azobé 10x1x0,3</t>
  </si>
  <si>
    <t>Azobé 11x1x0,3</t>
  </si>
  <si>
    <t>Azobé 11x1,25x0,3</t>
  </si>
  <si>
    <t>Azobé 12x1,25x0,3</t>
  </si>
  <si>
    <t>Azobé+st.kop 12x1,25x0,3</t>
  </si>
  <si>
    <t>Staal 8x2,4x0,2</t>
  </si>
  <si>
    <t>Staal 10x2,4x0,2</t>
  </si>
  <si>
    <t>Staal 10x1,2x0,3</t>
  </si>
  <si>
    <t>Staal 12x1,2x0,3</t>
  </si>
  <si>
    <t>Staal 14x1x0,3</t>
  </si>
  <si>
    <t>Dikte</t>
  </si>
  <si>
    <t>Element breedte:</t>
  </si>
  <si>
    <t>Element gewicht:</t>
  </si>
  <si>
    <t>Kraangegevens overzicht:</t>
  </si>
  <si>
    <t>Schotten gegevens:</t>
  </si>
  <si>
    <t>Kraan + situatie:</t>
  </si>
  <si>
    <t>Element soort:</t>
  </si>
  <si>
    <t>Damwandplank(en)</t>
  </si>
  <si>
    <t>Boorbuis</t>
  </si>
  <si>
    <t>Beton paal</t>
  </si>
  <si>
    <t>Pull up/down</t>
  </si>
  <si>
    <t>Benaming:</t>
  </si>
  <si>
    <t>Voorbeeld</t>
  </si>
  <si>
    <t>Loc. X-as</t>
  </si>
  <si>
    <t>Loc. Y-as</t>
  </si>
  <si>
    <t>Makelaar hoogte</t>
  </si>
  <si>
    <t>n.b.</t>
  </si>
  <si>
    <t>Gegevens controle:</t>
  </si>
  <si>
    <t>4800</t>
  </si>
  <si>
    <t>4600</t>
  </si>
  <si>
    <t>4790</t>
  </si>
  <si>
    <t>5000</t>
  </si>
  <si>
    <t>900</t>
  </si>
  <si>
    <t>700</t>
  </si>
  <si>
    <t>760</t>
  </si>
  <si>
    <t>593</t>
  </si>
  <si>
    <t>551</t>
  </si>
  <si>
    <t>650</t>
  </si>
  <si>
    <t>2,95</t>
  </si>
  <si>
    <t>3,26</t>
  </si>
  <si>
    <t>3,3</t>
  </si>
  <si>
    <t>1,45</t>
  </si>
  <si>
    <t>1,49</t>
  </si>
  <si>
    <t>1,48</t>
  </si>
  <si>
    <t>1,95</t>
  </si>
  <si>
    <t>1,82</t>
  </si>
  <si>
    <t>2,02</t>
  </si>
  <si>
    <t>0,88</t>
  </si>
  <si>
    <t>0,84</t>
  </si>
  <si>
    <t>0,81</t>
  </si>
  <si>
    <t>6,24</t>
  </si>
  <si>
    <t>5,76</t>
  </si>
  <si>
    <t>8,19</t>
  </si>
  <si>
    <t>6,5</t>
  </si>
  <si>
    <t>6</t>
  </si>
  <si>
    <t>7</t>
  </si>
  <si>
    <t>6,4</t>
  </si>
  <si>
    <t>14</t>
  </si>
  <si>
    <t>13,86</t>
  </si>
  <si>
    <t>11,4</t>
  </si>
  <si>
    <t>0</t>
  </si>
  <si>
    <t>58</t>
  </si>
  <si>
    <t>30</t>
  </si>
  <si>
    <t>0,7</t>
  </si>
  <si>
    <t>5,8</t>
  </si>
  <si>
    <t>9</t>
  </si>
  <si>
    <t>11,3</t>
  </si>
  <si>
    <t>8,6999999999999993</t>
  </si>
  <si>
    <t>3,5</t>
  </si>
  <si>
    <t>4,3499999999999996</t>
  </si>
  <si>
    <t>140</t>
  </si>
  <si>
    <t>230</t>
  </si>
  <si>
    <t>4,5999999999999996</t>
  </si>
  <si>
    <t>3,6</t>
  </si>
  <si>
    <t>17</t>
  </si>
  <si>
    <t>14,6</t>
  </si>
  <si>
    <t>25,5</t>
  </si>
  <si>
    <t>20</t>
  </si>
  <si>
    <t>28,05</t>
  </si>
  <si>
    <t>850</t>
  </si>
  <si>
    <t>800</t>
  </si>
  <si>
    <t>33,6</t>
  </si>
  <si>
    <t>2,5</t>
  </si>
  <si>
    <t>4</t>
  </si>
  <si>
    <t>H/V = 0</t>
  </si>
  <si>
    <t>H/V = 1</t>
  </si>
  <si>
    <t>Rubsblad breedte</t>
  </si>
  <si>
    <t>Totaal gewicht</t>
  </si>
  <si>
    <t>Loc. X-as totaal</t>
  </si>
  <si>
    <t>Loc. Y-as totaal</t>
  </si>
  <si>
    <t>Loc X-as onderw.</t>
  </si>
  <si>
    <t>Loc. Y-as onderw.</t>
  </si>
  <si>
    <t>183,66666666666666</t>
  </si>
  <si>
    <t>216,66666666666666</t>
  </si>
  <si>
    <t>5,7200000000000006</t>
  </si>
  <si>
    <t>415,09999999999997</t>
  </si>
  <si>
    <t>367,33333333333331</t>
  </si>
  <si>
    <t>433,33333333333331</t>
  </si>
  <si>
    <t>-3,9800000000000004</t>
  </si>
  <si>
    <t>-3,9400000000000004</t>
  </si>
  <si>
    <t>1,8150000000000002</t>
  </si>
  <si>
    <t>Hoogte</t>
  </si>
  <si>
    <t>Totaalgewicht</t>
  </si>
  <si>
    <t>Boormotoren</t>
  </si>
  <si>
    <t>Auger Torque 5000</t>
  </si>
  <si>
    <t>3549-10</t>
  </si>
  <si>
    <t>Woltman WG 15</t>
  </si>
  <si>
    <t>3549-11</t>
  </si>
  <si>
    <t>ICE 1220</t>
  </si>
  <si>
    <t>Woltman WG 50</t>
  </si>
  <si>
    <t>3550-9</t>
  </si>
  <si>
    <t>IHC FDE 45</t>
  </si>
  <si>
    <t>3550-20,21</t>
  </si>
  <si>
    <t>Woltman WG 40</t>
  </si>
  <si>
    <t>KH 300 PD 42m, telood</t>
  </si>
  <si>
    <t>KH 300 PD 42m,      5:1 AO</t>
  </si>
  <si>
    <t>KH 300 PD 42m,      5:1 VO</t>
  </si>
  <si>
    <t>Woltman THW 7528, telood</t>
  </si>
  <si>
    <t>Woltman THW 7528, 2:1 AO</t>
  </si>
  <si>
    <t>Woltman THW 7528, 5:1 VO</t>
  </si>
  <si>
    <t>ABI 1822HD,     telood</t>
  </si>
  <si>
    <t>Hitachi CX700</t>
  </si>
  <si>
    <t>Hitachi CX550 (34m), bereik 9,0m¹</t>
  </si>
  <si>
    <t>Hitachi CX400</t>
  </si>
  <si>
    <t>Hitachi KH125-3</t>
  </si>
  <si>
    <t>Hitachi KH180-3</t>
  </si>
  <si>
    <t>Hitachi KH230-3</t>
  </si>
  <si>
    <t>Hitachi KH230-3 GLS, telood</t>
  </si>
  <si>
    <t>4000</t>
  </si>
  <si>
    <t>516</t>
  </si>
  <si>
    <t>1,66</t>
  </si>
  <si>
    <t>1,32</t>
  </si>
  <si>
    <t>187</t>
  </si>
  <si>
    <t>158</t>
  </si>
  <si>
    <t>3,65 ???</t>
  </si>
  <si>
    <t>5,58</t>
  </si>
  <si>
    <t>365</t>
  </si>
  <si>
    <t>-3,3358226933269099</t>
  </si>
  <si>
    <t>-3,26</t>
  </si>
  <si>
    <t>1,6749939773548543</t>
  </si>
  <si>
    <t>1,56</t>
  </si>
  <si>
    <t>10</t>
  </si>
  <si>
    <t>Giek/schoorcilinders</t>
  </si>
  <si>
    <t>35,6</t>
  </si>
  <si>
    <t>35</t>
  </si>
  <si>
    <t>3,4550000000000001</t>
  </si>
  <si>
    <t>16,28</t>
  </si>
  <si>
    <t>107,8</t>
  </si>
  <si>
    <t>-3,8</t>
  </si>
  <si>
    <t>15,02</t>
  </si>
  <si>
    <t>Type kraan</t>
  </si>
  <si>
    <t>PD-stelling</t>
  </si>
  <si>
    <t>GLS-stelling</t>
  </si>
  <si>
    <t>GLS-(vouw)stelling</t>
  </si>
  <si>
    <t>Giekkraan</t>
  </si>
  <si>
    <t>Column8</t>
  </si>
  <si>
    <t>SPU</t>
  </si>
  <si>
    <t>SPZ</t>
  </si>
  <si>
    <t>Rotatie bedraagt 0 tot 90°</t>
  </si>
  <si>
    <t>cos rotatie</t>
  </si>
  <si>
    <t>b'</t>
  </si>
  <si>
    <t>sin totatie</t>
  </si>
  <si>
    <t>eschot</t>
  </si>
  <si>
    <t>Rand rubs - rand schot</t>
  </si>
  <si>
    <t>Lengte schot</t>
  </si>
  <si>
    <t>m2</t>
  </si>
  <si>
    <t>Breedte schot</t>
  </si>
  <si>
    <t>Bovenkant Laag</t>
  </si>
  <si>
    <t>Onderkant Laag</t>
  </si>
  <si>
    <t>Grondsoort</t>
  </si>
  <si>
    <t>Maaiveld</t>
  </si>
  <si>
    <t>GWS</t>
  </si>
  <si>
    <t>hoogte</t>
  </si>
  <si>
    <r>
      <t>σ</t>
    </r>
    <r>
      <rPr>
        <vertAlign val="subscript"/>
        <sz val="10"/>
        <rFont val="Arial"/>
        <family val="2"/>
      </rPr>
      <t>grond</t>
    </r>
  </si>
  <si>
    <r>
      <t>σ</t>
    </r>
    <r>
      <rPr>
        <vertAlign val="subscript"/>
        <sz val="10"/>
        <rFont val="Arial"/>
        <family val="2"/>
      </rPr>
      <t>water</t>
    </r>
  </si>
  <si>
    <r>
      <t>σ'</t>
    </r>
    <r>
      <rPr>
        <vertAlign val="subscript"/>
        <sz val="10"/>
        <rFont val="Arial"/>
        <family val="2"/>
      </rPr>
      <t>v</t>
    </r>
  </si>
  <si>
    <r>
      <t>q</t>
    </r>
    <r>
      <rPr>
        <vertAlign val="subscript"/>
        <sz val="10"/>
        <rFont val="Arial"/>
        <family val="2"/>
      </rPr>
      <t>c</t>
    </r>
    <r>
      <rPr>
        <sz val="10"/>
        <rFont val="Arial"/>
        <family val="2"/>
      </rPr>
      <t>-waarde sondering</t>
    </r>
  </si>
  <si>
    <t>Cqc</t>
  </si>
  <si>
    <r>
      <t>q</t>
    </r>
    <r>
      <rPr>
        <vertAlign val="subscript"/>
        <sz val="10"/>
        <rFont val="Arial"/>
        <family val="2"/>
      </rPr>
      <t>c</t>
    </r>
    <r>
      <rPr>
        <sz val="10"/>
        <rFont val="Arial"/>
        <family val="2"/>
      </rPr>
      <t>-waarde tabel</t>
    </r>
  </si>
  <si>
    <t>Klei st. zandig</t>
  </si>
  <si>
    <t>Klei zw. zandig</t>
  </si>
  <si>
    <t xml:space="preserve">Grind </t>
  </si>
  <si>
    <r>
      <rPr>
        <sz val="10"/>
        <rFont val="Calibri"/>
        <family val="2"/>
      </rPr>
      <t>ϕ</t>
    </r>
    <r>
      <rPr>
        <sz val="10"/>
        <rFont val="Arial"/>
        <family val="2"/>
      </rPr>
      <t>'</t>
    </r>
    <r>
      <rPr>
        <vertAlign val="subscript"/>
        <sz val="10"/>
        <rFont val="Arial"/>
        <family val="2"/>
      </rPr>
      <t>rep</t>
    </r>
  </si>
  <si>
    <r>
      <t>c'</t>
    </r>
    <r>
      <rPr>
        <vertAlign val="subscript"/>
        <sz val="10"/>
        <rFont val="Arial"/>
        <family val="2"/>
      </rPr>
      <t>rep</t>
    </r>
  </si>
  <si>
    <r>
      <t>c</t>
    </r>
    <r>
      <rPr>
        <vertAlign val="subscript"/>
        <sz val="10"/>
        <rFont val="Arial"/>
        <family val="2"/>
      </rPr>
      <t>u;rep</t>
    </r>
  </si>
  <si>
    <t>Mpa</t>
  </si>
  <si>
    <r>
      <t>kN/m</t>
    </r>
    <r>
      <rPr>
        <vertAlign val="superscript"/>
        <sz val="10"/>
        <rFont val="Arial"/>
        <family val="2"/>
      </rPr>
      <t>3</t>
    </r>
  </si>
  <si>
    <r>
      <t>kN/m</t>
    </r>
    <r>
      <rPr>
        <vertAlign val="superscript"/>
        <sz val="10"/>
        <rFont val="Arial"/>
        <family val="2"/>
      </rPr>
      <t>2</t>
    </r>
  </si>
  <si>
    <r>
      <rPr>
        <sz val="10"/>
        <rFont val="Calibri"/>
        <family val="2"/>
      </rPr>
      <t>ϕ</t>
    </r>
    <r>
      <rPr>
        <sz val="10"/>
        <rFont val="Arial"/>
        <family val="2"/>
      </rPr>
      <t>'</t>
    </r>
    <r>
      <rPr>
        <vertAlign val="subscript"/>
        <sz val="10"/>
        <rFont val="Arial"/>
        <family val="2"/>
      </rPr>
      <t>rep;gem</t>
    </r>
  </si>
  <si>
    <t>Hd/Vd</t>
  </si>
  <si>
    <r>
      <t xml:space="preserve">Geschatte waarde </t>
    </r>
    <r>
      <rPr>
        <sz val="10"/>
        <rFont val="Calibri"/>
        <family val="2"/>
      </rPr>
      <t>ϕ</t>
    </r>
    <r>
      <rPr>
        <sz val="10"/>
        <rFont val="Arial"/>
        <family val="2"/>
      </rPr>
      <t>'</t>
    </r>
    <r>
      <rPr>
        <vertAlign val="subscript"/>
        <sz val="10"/>
        <rFont val="Arial"/>
        <family val="2"/>
      </rPr>
      <t>rep;gem</t>
    </r>
  </si>
  <si>
    <t>BEREKENING REKENWAARDES</t>
  </si>
  <si>
    <t>Ze/b</t>
  </si>
  <si>
    <t>Ze</t>
  </si>
  <si>
    <t>Berekening na Ze</t>
  </si>
  <si>
    <t>h</t>
  </si>
  <si>
    <t>h tov Ze</t>
  </si>
  <si>
    <t>h+</t>
  </si>
  <si>
    <t>h-</t>
  </si>
  <si>
    <t>y'gem;d</t>
  </si>
  <si>
    <r>
      <rPr>
        <sz val="10"/>
        <rFont val="Calibri"/>
        <family val="2"/>
      </rPr>
      <t>ϕ</t>
    </r>
    <r>
      <rPr>
        <sz val="10"/>
        <rFont val="Arial"/>
        <family val="2"/>
      </rPr>
      <t>'</t>
    </r>
    <r>
      <rPr>
        <vertAlign val="subscript"/>
        <sz val="10"/>
        <rFont val="Arial"/>
        <family val="2"/>
      </rPr>
      <t>gem;rep</t>
    </r>
  </si>
  <si>
    <r>
      <rPr>
        <sz val="10"/>
        <rFont val="Calibri"/>
        <family val="2"/>
      </rPr>
      <t>ϕ</t>
    </r>
    <r>
      <rPr>
        <sz val="10"/>
        <rFont val="Arial"/>
        <family val="2"/>
      </rPr>
      <t>'</t>
    </r>
    <r>
      <rPr>
        <vertAlign val="subscript"/>
        <sz val="10"/>
        <rFont val="Arial"/>
        <family val="2"/>
      </rPr>
      <t>gem;d</t>
    </r>
  </si>
  <si>
    <r>
      <t>c'</t>
    </r>
    <r>
      <rPr>
        <vertAlign val="subscript"/>
        <sz val="10"/>
        <rFont val="Arial"/>
        <family val="2"/>
      </rPr>
      <t>gem;d</t>
    </r>
  </si>
  <si>
    <t>c rep</t>
  </si>
  <si>
    <t>Rd =</t>
  </si>
  <si>
    <t>Algemene rekengegevens</t>
  </si>
  <si>
    <t>Grondopbouw</t>
  </si>
  <si>
    <t>Vd =</t>
  </si>
  <si>
    <t>&lt;</t>
  </si>
  <si>
    <t>b' wordt minimaal breedte van het schot</t>
  </si>
  <si>
    <t>kN/m2</t>
  </si>
  <si>
    <t>b' 8°</t>
  </si>
  <si>
    <t>l' 8°</t>
  </si>
  <si>
    <t>bovenkant toetsingslaag</t>
  </si>
  <si>
    <t>NAP</t>
  </si>
  <si>
    <t>Dekking op te controleren laag</t>
  </si>
  <si>
    <t>b' na spreiding onder 8° vanaf maaiveld</t>
  </si>
  <si>
    <t>l' na spreiding onder 8° vanaf maaiveld</t>
  </si>
  <si>
    <r>
      <t>c</t>
    </r>
    <r>
      <rPr>
        <vertAlign val="subscript"/>
        <sz val="10"/>
        <rFont val="Arial"/>
        <family val="2"/>
      </rPr>
      <t>u;d</t>
    </r>
  </si>
  <si>
    <t>kPa</t>
  </si>
  <si>
    <t>A' 8°</t>
  </si>
  <si>
    <r>
      <rPr>
        <sz val="10"/>
        <rFont val="Calibri"/>
        <family val="2"/>
      </rPr>
      <t>σ</t>
    </r>
    <r>
      <rPr>
        <sz val="10"/>
        <rFont val="Arial"/>
        <family val="2"/>
      </rPr>
      <t>'</t>
    </r>
    <r>
      <rPr>
        <vertAlign val="subscript"/>
        <sz val="10"/>
        <rFont val="Arial"/>
        <family val="2"/>
      </rPr>
      <t>v;z;d</t>
    </r>
  </si>
  <si>
    <r>
      <rPr>
        <sz val="10"/>
        <rFont val="Calibri"/>
        <family val="2"/>
      </rPr>
      <t>σ</t>
    </r>
    <r>
      <rPr>
        <sz val="10"/>
        <rFont val="Arial"/>
        <family val="2"/>
      </rPr>
      <t>'</t>
    </r>
    <r>
      <rPr>
        <vertAlign val="subscript"/>
        <sz val="10"/>
        <rFont val="Arial"/>
        <family val="2"/>
      </rPr>
      <t>max;d</t>
    </r>
  </si>
  <si>
    <t>γ</t>
  </si>
  <si>
    <r>
      <rPr>
        <sz val="10"/>
        <rFont val="Calibri"/>
        <family val="2"/>
      </rPr>
      <t>γ</t>
    </r>
    <r>
      <rPr>
        <vertAlign val="subscript"/>
        <sz val="10"/>
        <rFont val="Arial"/>
        <family val="2"/>
      </rPr>
      <t>sat</t>
    </r>
  </si>
  <si>
    <r>
      <rPr>
        <sz val="10"/>
        <rFont val="Calibri"/>
        <family val="2"/>
      </rPr>
      <t>ϕ</t>
    </r>
    <r>
      <rPr>
        <sz val="10"/>
        <rFont val="Arial"/>
        <family val="2"/>
      </rPr>
      <t>'</t>
    </r>
    <r>
      <rPr>
        <vertAlign val="subscript"/>
        <sz val="10"/>
        <rFont val="Arial"/>
        <family val="2"/>
      </rPr>
      <t>d</t>
    </r>
  </si>
  <si>
    <r>
      <t>c'</t>
    </r>
    <r>
      <rPr>
        <vertAlign val="subscript"/>
        <sz val="10"/>
        <rFont val="Arial"/>
        <family val="2"/>
      </rPr>
      <t>d</t>
    </r>
  </si>
  <si>
    <t>A' na spreiding onder 8° vanaf maaiveld</t>
  </si>
  <si>
    <t>Min. afstand rand rupsen tot rand schottenveld:</t>
  </si>
  <si>
    <t>(geschatte gem. Waarde cohesieve lagen)</t>
  </si>
  <si>
    <t>dphi</t>
  </si>
  <si>
    <t>Coh. Laag</t>
  </si>
  <si>
    <t>Controle?</t>
  </si>
  <si>
    <r>
      <rPr>
        <sz val="10"/>
        <rFont val="Calibri"/>
        <family val="2"/>
      </rPr>
      <t>σ</t>
    </r>
    <r>
      <rPr>
        <sz val="10"/>
        <rFont val="Arial"/>
        <family val="2"/>
      </rPr>
      <t>'v;z;d =</t>
    </r>
  </si>
  <si>
    <r>
      <t>b</t>
    </r>
    <r>
      <rPr>
        <vertAlign val="subscript"/>
        <sz val="10"/>
        <rFont val="Arial"/>
        <family val="2"/>
      </rPr>
      <t>q</t>
    </r>
  </si>
  <si>
    <r>
      <t>b</t>
    </r>
    <r>
      <rPr>
        <vertAlign val="subscript"/>
        <sz val="10"/>
        <rFont val="Arial"/>
        <family val="2"/>
      </rPr>
      <t>c</t>
    </r>
  </si>
  <si>
    <r>
      <t>b</t>
    </r>
    <r>
      <rPr>
        <vertAlign val="subscript"/>
        <sz val="10"/>
        <rFont val="Arial"/>
        <family val="2"/>
      </rPr>
      <t>y'</t>
    </r>
  </si>
  <si>
    <t>ΔL</t>
  </si>
  <si>
    <t>Toetsingslaag b.k.</t>
  </si>
  <si>
    <t>phi</t>
  </si>
  <si>
    <t>ynat</t>
  </si>
  <si>
    <t>y'gemd</t>
  </si>
  <si>
    <t>c'gem;d</t>
  </si>
  <si>
    <t>c</t>
  </si>
  <si>
    <t>c d</t>
  </si>
  <si>
    <t>Ny</t>
  </si>
  <si>
    <t>sy</t>
  </si>
  <si>
    <t>iy</t>
  </si>
  <si>
    <t>Ze/b'</t>
  </si>
  <si>
    <t>H/V</t>
  </si>
  <si>
    <r>
      <t>σ'</t>
    </r>
    <r>
      <rPr>
        <vertAlign val="subscript"/>
        <sz val="10"/>
        <rFont val="Arial"/>
        <family val="2"/>
      </rPr>
      <t>max</t>
    </r>
  </si>
  <si>
    <t>(scheiding aanbrengen in grondlagen op niveau GWS)</t>
  </si>
  <si>
    <t>Aanvulling</t>
  </si>
  <si>
    <t>yd</t>
  </si>
  <si>
    <t>ysat;d-yw</t>
  </si>
  <si>
    <t>u.c.</t>
  </si>
  <si>
    <t>V 8°</t>
  </si>
  <si>
    <t>(Verticale belasting incl. grondgewicht op toetslaag)</t>
  </si>
  <si>
    <t>GEDRAINEERD: Berekening gewogen gemiddeldes hoek van inwendige wrijving, cohesie en volumiek gewicht</t>
  </si>
  <si>
    <t>GEPONST GEDRAINEERD: Berekening gewogen gemiddeldes hoe van inwendige wrijving, cohesie en volumiek gewicht</t>
  </si>
  <si>
    <r>
      <t>c'</t>
    </r>
    <r>
      <rPr>
        <vertAlign val="subscript"/>
        <sz val="10"/>
        <rFont val="Arial"/>
        <family val="2"/>
      </rPr>
      <t>gem;rep</t>
    </r>
  </si>
  <si>
    <t>b' bedraagt de kleinste zijde van A'</t>
  </si>
  <si>
    <t>Projectnaam;</t>
  </si>
  <si>
    <t>Locatie;</t>
  </si>
  <si>
    <t>Auteur;</t>
  </si>
  <si>
    <t>Maaiveldniveau</t>
  </si>
  <si>
    <t>Grondwaterstand</t>
  </si>
  <si>
    <t>Bouwterreinbelasting</t>
  </si>
  <si>
    <t>Randvoorwaardes</t>
  </si>
  <si>
    <t>De kraan dient minimaal</t>
  </si>
  <si>
    <t>Er dient minimaal</t>
  </si>
  <si>
    <t>m zand opgehoogd te worden</t>
  </si>
  <si>
    <t>Geldende normen en richtlijnen</t>
  </si>
  <si>
    <t>Begaanbaarheid van bouwterrein - Geotechnische draagkracht voor funderingsmachines</t>
  </si>
  <si>
    <t>Bouwterreincertificaat (BTC) Nederland</t>
  </si>
  <si>
    <t>Bedrijfsnaam;</t>
  </si>
  <si>
    <t>Geometrie bouwterrein</t>
  </si>
  <si>
    <t>Benodigd maaiveldniveau</t>
  </si>
  <si>
    <t>m t.o.v. NAP</t>
  </si>
  <si>
    <t>Benodigde grondwaterstand</t>
  </si>
  <si>
    <t>m uit de schotten te staan vanaf rand rups</t>
  </si>
  <si>
    <t>Toegepaste gegevens</t>
  </si>
  <si>
    <t>1. Grondonderzoek uitgevoerd door.., rapp.nr.</t>
  </si>
  <si>
    <t>2. Bemalingsadvies opgesteld door.., rapp.nr.</t>
  </si>
  <si>
    <t>Toplaag bouwput</t>
  </si>
  <si>
    <t>Afschrapen over ... m / Aanvullen tot … m t.o.v. NAP</t>
  </si>
  <si>
    <t>Opmerkingen:</t>
  </si>
  <si>
    <t>&lt;-- Toplaag zelf aangeven</t>
  </si>
  <si>
    <t>Draagvermogen bouwterreing</t>
  </si>
  <si>
    <t>Funderingsmachine:</t>
  </si>
  <si>
    <t>Belasting funderingsmachine:</t>
  </si>
  <si>
    <t>Belastingsituatie;</t>
  </si>
  <si>
    <t>Kraan haaks op schottenveld</t>
  </si>
  <si>
    <t>Rotatie bovenwagen</t>
  </si>
  <si>
    <t>Verificatie door opdrachtgever</t>
  </si>
  <si>
    <t>Het bouwterrein dient minimaal aan de voornoemde uitgangspunten te voldoen zodat met de het materieel de werkzaamheden veilig uitgevoerd kan worden. Het bouwterrein dient door de opdrachtgever ingericht te worden zodanig dat het werk met het materieel veilig uitgevoerd kan worden.</t>
  </si>
  <si>
    <t>Verificator;</t>
  </si>
  <si>
    <t>Bedrijf;</t>
  </si>
  <si>
    <t>Datum;</t>
  </si>
  <si>
    <t>Handtekening;</t>
  </si>
  <si>
    <t>m t.o.v. NAP, aanvullend met verdicht zand</t>
  </si>
  <si>
    <t>Opdrachtgever;</t>
  </si>
  <si>
    <t>Rekenwaardes grondparameters</t>
  </si>
  <si>
    <t>B.k. laag</t>
  </si>
  <si>
    <t>O.k. laag</t>
  </si>
  <si>
    <r>
      <t>γ</t>
    </r>
    <r>
      <rPr>
        <vertAlign val="subscript"/>
        <sz val="9"/>
        <rFont val="Calibri"/>
        <family val="2"/>
      </rPr>
      <t>rep</t>
    </r>
  </si>
  <si>
    <r>
      <rPr>
        <sz val="9"/>
        <rFont val="Calibri"/>
        <family val="2"/>
      </rPr>
      <t>γ'</t>
    </r>
    <r>
      <rPr>
        <vertAlign val="subscript"/>
        <sz val="9"/>
        <rFont val="Arial"/>
        <family val="2"/>
      </rPr>
      <t>sat;rep</t>
    </r>
  </si>
  <si>
    <r>
      <rPr>
        <sz val="9"/>
        <rFont val="Calibri"/>
        <family val="2"/>
      </rPr>
      <t>σ</t>
    </r>
    <r>
      <rPr>
        <sz val="9"/>
        <rFont val="Arial"/>
        <family val="2"/>
      </rPr>
      <t>'</t>
    </r>
    <r>
      <rPr>
        <vertAlign val="subscript"/>
        <sz val="9"/>
        <rFont val="Arial"/>
        <family val="2"/>
      </rPr>
      <t>v;rep</t>
    </r>
  </si>
  <si>
    <r>
      <t>ϕ'</t>
    </r>
    <r>
      <rPr>
        <vertAlign val="subscript"/>
        <sz val="9"/>
        <rFont val="Calibri"/>
        <family val="2"/>
      </rPr>
      <t>rep</t>
    </r>
  </si>
  <si>
    <r>
      <t>c'</t>
    </r>
    <r>
      <rPr>
        <vertAlign val="subscript"/>
        <sz val="9"/>
        <rFont val="Arial"/>
        <family val="2"/>
      </rPr>
      <t>rep</t>
    </r>
  </si>
  <si>
    <r>
      <t>c</t>
    </r>
    <r>
      <rPr>
        <vertAlign val="subscript"/>
        <sz val="9"/>
        <rFont val="Arial"/>
        <family val="2"/>
      </rPr>
      <t>u;rep</t>
    </r>
  </si>
  <si>
    <r>
      <rPr>
        <sz val="9"/>
        <rFont val="Calibri"/>
        <family val="2"/>
      </rPr>
      <t>γ'</t>
    </r>
    <r>
      <rPr>
        <vertAlign val="subscript"/>
        <sz val="9"/>
        <rFont val="Arial"/>
        <family val="2"/>
      </rPr>
      <t>sat;d</t>
    </r>
  </si>
  <si>
    <r>
      <rPr>
        <sz val="9"/>
        <rFont val="Calibri"/>
        <family val="2"/>
      </rPr>
      <t>σ</t>
    </r>
    <r>
      <rPr>
        <sz val="9"/>
        <rFont val="Arial"/>
        <family val="2"/>
      </rPr>
      <t>'</t>
    </r>
    <r>
      <rPr>
        <vertAlign val="subscript"/>
        <sz val="9"/>
        <rFont val="Arial"/>
        <family val="2"/>
      </rPr>
      <t>v;d</t>
    </r>
  </si>
  <si>
    <r>
      <t>ϕ'</t>
    </r>
    <r>
      <rPr>
        <vertAlign val="subscript"/>
        <sz val="9"/>
        <rFont val="Calibri"/>
        <family val="2"/>
      </rPr>
      <t>d</t>
    </r>
  </si>
  <si>
    <r>
      <t>c'</t>
    </r>
    <r>
      <rPr>
        <vertAlign val="subscript"/>
        <sz val="9"/>
        <rFont val="Arial"/>
        <family val="2"/>
      </rPr>
      <t>d</t>
    </r>
  </si>
  <si>
    <r>
      <t>c</t>
    </r>
    <r>
      <rPr>
        <vertAlign val="subscript"/>
        <sz val="9"/>
        <rFont val="Arial"/>
        <family val="2"/>
      </rPr>
      <t>u;d</t>
    </r>
  </si>
  <si>
    <t>m NAP</t>
  </si>
  <si>
    <r>
      <t>kN/m</t>
    </r>
    <r>
      <rPr>
        <vertAlign val="superscript"/>
        <sz val="9"/>
        <rFont val="Arial"/>
        <family val="2"/>
      </rPr>
      <t>3</t>
    </r>
  </si>
  <si>
    <r>
      <t>kN/m</t>
    </r>
    <r>
      <rPr>
        <vertAlign val="superscript"/>
        <sz val="9"/>
        <rFont val="Arial"/>
        <family val="2"/>
      </rPr>
      <t>2</t>
    </r>
  </si>
  <si>
    <t>Veiligheidsfactor;</t>
  </si>
  <si>
    <t>Algemene uitgangspunten</t>
  </si>
  <si>
    <t>Initieel maaiveld</t>
  </si>
  <si>
    <t>Intieele grondwaterstand</t>
  </si>
  <si>
    <t>Berekening draagvermogen</t>
  </si>
  <si>
    <t>Invloedsdiepte Ze =</t>
  </si>
  <si>
    <r>
      <t xml:space="preserve">Schatting </t>
    </r>
    <r>
      <rPr>
        <sz val="10"/>
        <rFont val="Calibri"/>
        <family val="2"/>
      </rPr>
      <t>ϕ</t>
    </r>
    <r>
      <rPr>
        <sz val="10"/>
        <rFont val="Arial"/>
        <family val="2"/>
      </rPr>
      <t>'</t>
    </r>
    <r>
      <rPr>
        <vertAlign val="subscript"/>
        <sz val="10"/>
        <rFont val="Arial"/>
        <family val="2"/>
      </rPr>
      <t>gem;rep</t>
    </r>
  </si>
  <si>
    <r>
      <rPr>
        <sz val="10"/>
        <rFont val="Calibri"/>
        <family val="2"/>
      </rPr>
      <t>ϕ</t>
    </r>
    <r>
      <rPr>
        <sz val="10"/>
        <rFont val="Arial"/>
        <family val="2"/>
      </rPr>
      <t>'</t>
    </r>
    <r>
      <rPr>
        <vertAlign val="subscript"/>
        <sz val="10"/>
        <rFont val="Arial"/>
        <family val="2"/>
      </rPr>
      <t>gem;rep</t>
    </r>
    <r>
      <rPr>
        <sz val="10"/>
        <rFont val="Arial"/>
        <family val="2"/>
      </rPr>
      <t xml:space="preserve"> =</t>
    </r>
  </si>
  <si>
    <r>
      <rPr>
        <sz val="10"/>
        <rFont val="Calibri"/>
        <family val="2"/>
      </rPr>
      <t>ϕ</t>
    </r>
    <r>
      <rPr>
        <sz val="10"/>
        <rFont val="Arial"/>
        <family val="2"/>
      </rPr>
      <t>'</t>
    </r>
    <r>
      <rPr>
        <vertAlign val="subscript"/>
        <sz val="10"/>
        <rFont val="Arial"/>
        <family val="2"/>
      </rPr>
      <t>gem;d</t>
    </r>
    <r>
      <rPr>
        <sz val="10"/>
        <rFont val="Arial"/>
        <family val="2"/>
      </rPr>
      <t xml:space="preserve"> =</t>
    </r>
  </si>
  <si>
    <r>
      <t>c'</t>
    </r>
    <r>
      <rPr>
        <vertAlign val="subscript"/>
        <sz val="10"/>
        <rFont val="Arial"/>
        <family val="2"/>
      </rPr>
      <t>gem;d</t>
    </r>
    <r>
      <rPr>
        <sz val="10"/>
        <rFont val="Arial"/>
        <family val="2"/>
      </rPr>
      <t xml:space="preserve"> =</t>
    </r>
  </si>
  <si>
    <r>
      <rPr>
        <sz val="10"/>
        <rFont val="Calibri"/>
        <family val="2"/>
      </rPr>
      <t>γ</t>
    </r>
    <r>
      <rPr>
        <sz val="10"/>
        <rFont val="Arial"/>
        <family val="2"/>
      </rPr>
      <t>'</t>
    </r>
    <r>
      <rPr>
        <vertAlign val="subscript"/>
        <sz val="10"/>
        <rFont val="Arial"/>
        <family val="2"/>
      </rPr>
      <t>gem;d</t>
    </r>
    <r>
      <rPr>
        <sz val="10"/>
        <rFont val="Arial"/>
        <family val="2"/>
      </rPr>
      <t xml:space="preserve"> =</t>
    </r>
  </si>
  <si>
    <r>
      <t>σ'</t>
    </r>
    <r>
      <rPr>
        <vertAlign val="subscript"/>
        <sz val="10"/>
        <rFont val="Arial"/>
        <family val="2"/>
      </rPr>
      <t>max</t>
    </r>
    <r>
      <rPr>
        <sz val="10"/>
        <rFont val="Arial"/>
        <family val="2"/>
      </rPr>
      <t xml:space="preserve"> =</t>
    </r>
  </si>
  <si>
    <t>A' =</t>
  </si>
  <si>
    <r>
      <t>m</t>
    </r>
    <r>
      <rPr>
        <vertAlign val="superscript"/>
        <sz val="10"/>
        <rFont val="Arial"/>
        <family val="2"/>
      </rPr>
      <t>2</t>
    </r>
  </si>
  <si>
    <r>
      <t>R</t>
    </r>
    <r>
      <rPr>
        <vertAlign val="subscript"/>
        <sz val="10"/>
        <rFont val="Arial"/>
        <family val="2"/>
      </rPr>
      <t>d</t>
    </r>
    <r>
      <rPr>
        <sz val="10"/>
        <rFont val="Arial"/>
        <family val="2"/>
      </rPr>
      <t xml:space="preserve"> =</t>
    </r>
  </si>
  <si>
    <r>
      <t>V</t>
    </r>
    <r>
      <rPr>
        <vertAlign val="subscript"/>
        <sz val="10"/>
        <rFont val="Arial"/>
        <family val="2"/>
      </rPr>
      <t>d</t>
    </r>
    <r>
      <rPr>
        <sz val="10"/>
        <rFont val="Arial"/>
        <family val="2"/>
      </rPr>
      <t xml:space="preserve"> =</t>
    </r>
  </si>
  <si>
    <t>u.c. =</t>
  </si>
  <si>
    <r>
      <rPr>
        <sz val="10"/>
        <rFont val="Calibri"/>
        <family val="2"/>
      </rPr>
      <t>σ</t>
    </r>
    <r>
      <rPr>
        <sz val="10"/>
        <rFont val="Arial"/>
        <family val="2"/>
      </rPr>
      <t>'</t>
    </r>
    <r>
      <rPr>
        <vertAlign val="subscript"/>
        <sz val="10"/>
        <rFont val="Arial"/>
        <family val="2"/>
      </rPr>
      <t>v;z;d</t>
    </r>
    <r>
      <rPr>
        <sz val="10"/>
        <rFont val="Arial"/>
        <family val="2"/>
      </rPr>
      <t xml:space="preserve"> =</t>
    </r>
  </si>
  <si>
    <t>--&gt;</t>
  </si>
  <si>
    <r>
      <t>s</t>
    </r>
    <r>
      <rPr>
        <vertAlign val="subscript"/>
        <sz val="10"/>
        <rFont val="Arial"/>
        <family val="2"/>
      </rPr>
      <t>c</t>
    </r>
  </si>
  <si>
    <r>
      <t>i</t>
    </r>
    <r>
      <rPr>
        <vertAlign val="subscript"/>
        <sz val="10"/>
        <rFont val="Arial"/>
        <family val="2"/>
      </rPr>
      <t>c</t>
    </r>
  </si>
  <si>
    <r>
      <t>b</t>
    </r>
    <r>
      <rPr>
        <vertAlign val="subscript"/>
        <sz val="10"/>
        <rFont val="Arial"/>
        <family val="2"/>
      </rPr>
      <t>q</t>
    </r>
    <r>
      <rPr>
        <sz val="10"/>
        <rFont val="Arial"/>
        <family val="2"/>
      </rPr>
      <t xml:space="preserve"> =</t>
    </r>
  </si>
  <si>
    <r>
      <t>b</t>
    </r>
    <r>
      <rPr>
        <vertAlign val="subscript"/>
        <sz val="10"/>
        <rFont val="Arial"/>
        <family val="2"/>
      </rPr>
      <t>c</t>
    </r>
    <r>
      <rPr>
        <sz val="10"/>
        <rFont val="Arial"/>
        <family val="2"/>
      </rPr>
      <t xml:space="preserve"> =</t>
    </r>
  </si>
  <si>
    <r>
      <t>b</t>
    </r>
    <r>
      <rPr>
        <vertAlign val="subscript"/>
        <sz val="10"/>
        <rFont val="Arial"/>
        <family val="2"/>
      </rPr>
      <t>y'</t>
    </r>
    <r>
      <rPr>
        <sz val="10"/>
        <rFont val="Arial"/>
        <family val="2"/>
      </rPr>
      <t xml:space="preserve"> =</t>
    </r>
  </si>
  <si>
    <r>
      <t>N</t>
    </r>
    <r>
      <rPr>
        <vertAlign val="subscript"/>
        <sz val="10"/>
        <rFont val="Arial"/>
        <family val="2"/>
      </rPr>
      <t>q</t>
    </r>
    <r>
      <rPr>
        <sz val="10"/>
        <rFont val="Arial"/>
        <family val="2"/>
      </rPr>
      <t xml:space="preserve"> =</t>
    </r>
  </si>
  <si>
    <r>
      <t>N</t>
    </r>
    <r>
      <rPr>
        <vertAlign val="subscript"/>
        <sz val="10"/>
        <rFont val="Arial"/>
        <family val="2"/>
      </rPr>
      <t>c</t>
    </r>
    <r>
      <rPr>
        <sz val="10"/>
        <rFont val="Arial"/>
        <family val="2"/>
      </rPr>
      <t xml:space="preserve"> =</t>
    </r>
  </si>
  <si>
    <r>
      <t>N</t>
    </r>
    <r>
      <rPr>
        <vertAlign val="subscript"/>
        <sz val="10"/>
        <rFont val="Arial"/>
        <family val="2"/>
      </rPr>
      <t>y</t>
    </r>
    <r>
      <rPr>
        <sz val="10"/>
        <rFont val="Arial"/>
        <family val="2"/>
      </rPr>
      <t xml:space="preserve"> =</t>
    </r>
  </si>
  <si>
    <r>
      <t>s</t>
    </r>
    <r>
      <rPr>
        <vertAlign val="subscript"/>
        <sz val="10"/>
        <rFont val="Arial"/>
        <family val="2"/>
      </rPr>
      <t>q</t>
    </r>
    <r>
      <rPr>
        <sz val="10"/>
        <rFont val="Arial"/>
        <family val="2"/>
      </rPr>
      <t xml:space="preserve"> =</t>
    </r>
  </si>
  <si>
    <r>
      <t>s</t>
    </r>
    <r>
      <rPr>
        <vertAlign val="subscript"/>
        <sz val="10"/>
        <rFont val="Arial"/>
        <family val="2"/>
      </rPr>
      <t>c</t>
    </r>
    <r>
      <rPr>
        <sz val="10"/>
        <rFont val="Arial"/>
        <family val="2"/>
      </rPr>
      <t xml:space="preserve"> =</t>
    </r>
  </si>
  <si>
    <r>
      <t>s</t>
    </r>
    <r>
      <rPr>
        <vertAlign val="subscript"/>
        <sz val="10"/>
        <rFont val="Arial"/>
        <family val="2"/>
      </rPr>
      <t>y</t>
    </r>
    <r>
      <rPr>
        <sz val="10"/>
        <rFont val="Arial"/>
        <family val="2"/>
      </rPr>
      <t xml:space="preserve"> =</t>
    </r>
  </si>
  <si>
    <r>
      <t>i</t>
    </r>
    <r>
      <rPr>
        <vertAlign val="subscript"/>
        <sz val="10"/>
        <rFont val="Arial"/>
        <family val="2"/>
      </rPr>
      <t>q</t>
    </r>
    <r>
      <rPr>
        <sz val="10"/>
        <rFont val="Arial"/>
        <family val="2"/>
      </rPr>
      <t xml:space="preserve"> =</t>
    </r>
  </si>
  <si>
    <r>
      <t>i</t>
    </r>
    <r>
      <rPr>
        <vertAlign val="subscript"/>
        <sz val="10"/>
        <rFont val="Arial"/>
        <family val="2"/>
      </rPr>
      <t>c</t>
    </r>
    <r>
      <rPr>
        <sz val="10"/>
        <rFont val="Arial"/>
        <family val="2"/>
      </rPr>
      <t xml:space="preserve"> =</t>
    </r>
  </si>
  <si>
    <r>
      <t>i</t>
    </r>
    <r>
      <rPr>
        <vertAlign val="subscript"/>
        <sz val="10"/>
        <rFont val="Arial"/>
        <family val="2"/>
      </rPr>
      <t>y</t>
    </r>
    <r>
      <rPr>
        <sz val="10"/>
        <rFont val="Arial"/>
        <family val="2"/>
      </rPr>
      <t xml:space="preserve"> =</t>
    </r>
  </si>
  <si>
    <r>
      <t>Z</t>
    </r>
    <r>
      <rPr>
        <vertAlign val="subscript"/>
        <sz val="10"/>
        <rFont val="Arial"/>
        <family val="2"/>
      </rPr>
      <t>e</t>
    </r>
    <r>
      <rPr>
        <sz val="10"/>
        <rFont val="Arial"/>
        <family val="2"/>
      </rPr>
      <t>/b' =</t>
    </r>
  </si>
  <si>
    <t>Bovenkant toetslaag</t>
  </si>
  <si>
    <t>Dekking op toetslaag</t>
  </si>
  <si>
    <t>Verticale belasting Vd</t>
  </si>
  <si>
    <t>Horizontale belasting Hd</t>
  </si>
  <si>
    <t>Effectieve funderingsbreedte b'</t>
  </si>
  <si>
    <t>Effectieve funderingslengte l'</t>
  </si>
  <si>
    <t>Effectief funderingsoppervlak A'</t>
  </si>
  <si>
    <t>Rekenwaarde grondspanning</t>
  </si>
  <si>
    <t>Normen en richtlijnen</t>
  </si>
  <si>
    <t>NEN-EN 9997-1:2016 (nl); Geotechnisch ontwerp van constructies - Deel 1: Algemene regels</t>
  </si>
  <si>
    <t>CUR Begaanbaarheid bouwterrein</t>
  </si>
  <si>
    <t xml:space="preserve">de minimale b' die in rekening wordt gebracht is de breedte van het schot. </t>
  </si>
  <si>
    <t>Zonder Schotten (niet verwerkt in deze spreadsheet)</t>
  </si>
  <si>
    <t>(zie draagvermogen tabblad)</t>
  </si>
  <si>
    <t>= Invullen</t>
  </si>
  <si>
    <t>Aanvulling kan toegepast worden</t>
  </si>
  <si>
    <t>voor meer draagvermogen</t>
  </si>
  <si>
    <t>=Invullen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</si>
</sst>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00"/>
    <numFmt numFmtId="165" formatCode="_-* #,##0.00_-;_-* #,##0.00\-;_-* &quot;-&quot;??_-;_-@_-"/>
    <numFmt numFmtId="166" formatCode="_-* #,##0_-;_-* #,##0\-;_-* &quot;-&quot;??_-;_-@_-"/>
    <numFmt numFmtId="167" formatCode="0.0"/>
  </numFmts>
  <fonts count="32" x14ac:knownFonts="1">
    <font>
      <sz val="10"/>
      <name val="Arial"/>
    </font>
    <font>
      <sz val="10"/>
      <name val="Arial"/>
      <family val="2"/>
    </font>
    <font>
      <sz val="10"/>
      <name val="Arial"/>
      <family val="2"/>
    </font>
    <font>
      <sz val="10"/>
      <name val="Symbol"/>
      <family val="1"/>
      <charset val="2"/>
    </font>
    <font>
      <sz val="7"/>
      <name val="Arial"/>
      <family val="2"/>
    </font>
    <font>
      <b/>
      <sz val="10"/>
      <name val="Arial"/>
      <family val="2"/>
    </font>
    <font>
      <vertAlign val="subscript"/>
      <sz val="10"/>
      <name val="Arial"/>
      <family val="2"/>
    </font>
    <font>
      <sz val="8"/>
      <name val="Arial"/>
      <family val="2"/>
    </font>
    <font>
      <vertAlign val="subscript"/>
      <sz val="10"/>
      <name val="Calibri Light"/>
      <family val="2"/>
    </font>
    <font>
      <vertAlign val="subscript"/>
      <sz val="10"/>
      <name val="Symbol"/>
      <family val="1"/>
      <charset val="2"/>
    </font>
    <font>
      <sz val="8"/>
      <name val="Symbol"/>
      <family val="1"/>
      <charset val="2"/>
    </font>
    <font>
      <sz val="10"/>
      <name val="Calibri"/>
      <family val="2"/>
    </font>
    <font>
      <vertAlign val="subscript"/>
      <sz val="10"/>
      <name val="Calibri"/>
      <family val="2"/>
    </font>
    <font>
      <sz val="6"/>
      <name val="Symbol"/>
      <family val="1"/>
      <charset val="2"/>
    </font>
    <font>
      <b/>
      <sz val="9"/>
      <color indexed="81"/>
      <name val="Tahoma"/>
      <family val="2"/>
    </font>
    <font>
      <sz val="9"/>
      <color indexed="81"/>
      <name val="Tahoma"/>
      <family val="2"/>
    </font>
    <font>
      <sz val="16"/>
      <name val="Calibri"/>
      <family val="2"/>
    </font>
    <font>
      <sz val="8"/>
      <name val="Calibri"/>
      <family val="2"/>
    </font>
    <font>
      <b/>
      <sz val="12"/>
      <name val="Calibri"/>
      <family val="2"/>
    </font>
    <font>
      <sz val="10"/>
      <color rgb="FFFF0000"/>
      <name val="Arial"/>
      <family val="2"/>
    </font>
    <font>
      <sz val="11"/>
      <color rgb="FF006100"/>
      <name val="Calibri"/>
      <family val="2"/>
      <scheme val="minor"/>
    </font>
    <font>
      <sz val="11"/>
      <name val="Calibri"/>
      <family val="2"/>
      <scheme val="minor"/>
    </font>
    <font>
      <vertAlign val="superscript"/>
      <sz val="10"/>
      <name val="Arial"/>
      <family val="2"/>
    </font>
    <font>
      <u/>
      <sz val="10"/>
      <name val="Arial"/>
      <family val="2"/>
    </font>
    <font>
      <b/>
      <sz val="10"/>
      <color rgb="FFFF0000"/>
      <name val="Arial"/>
      <family val="2"/>
    </font>
    <font>
      <b/>
      <sz val="10"/>
      <color theme="0"/>
      <name val="Arial"/>
      <family val="2"/>
    </font>
    <font>
      <sz val="10"/>
      <color theme="0"/>
      <name val="Arial"/>
      <family val="2"/>
    </font>
    <font>
      <sz val="9"/>
      <name val="Arial"/>
      <family val="2"/>
    </font>
    <font>
      <sz val="9"/>
      <name val="Calibri"/>
      <family val="2"/>
    </font>
    <font>
      <vertAlign val="subscript"/>
      <sz val="9"/>
      <name val="Calibri"/>
      <family val="2"/>
    </font>
    <font>
      <vertAlign val="subscript"/>
      <sz val="9"/>
      <name val="Arial"/>
      <family val="2"/>
    </font>
    <font>
      <vertAlign val="superscript"/>
      <sz val="9"/>
      <name val="Arial"/>
      <family val="2"/>
    </font>
  </fonts>
  <fills count="14">
    <fill>
      <patternFill patternType="none"/>
    </fill>
    <fill>
      <patternFill patternType="gray125"/>
    </fill>
    <fill>
      <patternFill patternType="solid">
        <fgColor theme="4"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rgb="FFC6EFCE"/>
      </patternFill>
    </fill>
    <fill>
      <patternFill patternType="solid">
        <fgColor rgb="FF0061AD"/>
        <bgColor indexed="64"/>
      </patternFill>
    </fill>
    <fill>
      <patternFill patternType="solid">
        <fgColor rgb="FF9BC2E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165" fontId="1" fillId="0" borderId="0" applyFont="0" applyFill="0" applyBorder="0" applyAlignment="0" applyProtection="0"/>
    <xf numFmtId="0" fontId="20" fillId="11" borderId="0" applyNumberFormat="0" applyBorder="0" applyAlignment="0" applyProtection="0"/>
  </cellStyleXfs>
  <cellXfs count="435">
    <xf numFmtId="0" fontId="0" fillId="0" borderId="0" xfId="0"/>
    <xf numFmtId="0" fontId="0" fillId="0" borderId="0" xfId="0" applyAlignment="1">
      <alignment horizontal="center"/>
    </xf>
    <xf numFmtId="2" fontId="0" fillId="0" borderId="0" xfId="0" applyNumberFormat="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2" fontId="0" fillId="4" borderId="3" xfId="0" applyNumberFormat="1" applyFill="1" applyBorder="1" applyAlignment="1">
      <alignment horizontal="center"/>
    </xf>
    <xf numFmtId="0" fontId="0" fillId="4" borderId="3" xfId="0" applyFill="1" applyBorder="1"/>
    <xf numFmtId="0" fontId="0" fillId="4" borderId="4" xfId="0" applyFill="1" applyBorder="1"/>
    <xf numFmtId="0" fontId="0" fillId="4" borderId="5" xfId="0" applyFill="1" applyBorder="1" applyAlignment="1">
      <alignment horizontal="center"/>
    </xf>
    <xf numFmtId="0" fontId="0" fillId="4" borderId="0" xfId="0" applyFill="1" applyBorder="1" applyAlignment="1">
      <alignment horizontal="center"/>
    </xf>
    <xf numFmtId="2" fontId="0" fillId="4" borderId="0" xfId="0" applyNumberFormat="1" applyFill="1" applyBorder="1" applyAlignment="1">
      <alignment horizontal="center"/>
    </xf>
    <xf numFmtId="0" fontId="0" fillId="4" borderId="0" xfId="0" applyFill="1" applyBorder="1"/>
    <xf numFmtId="0" fontId="2" fillId="4" borderId="0" xfId="0" applyFont="1" applyFill="1" applyBorder="1"/>
    <xf numFmtId="0" fontId="2" fillId="4" borderId="6" xfId="0" applyFont="1" applyFill="1" applyBorder="1"/>
    <xf numFmtId="0" fontId="2" fillId="4" borderId="0" xfId="0" applyFont="1" applyFill="1" applyBorder="1" applyAlignment="1">
      <alignment horizontal="center"/>
    </xf>
    <xf numFmtId="2" fontId="2" fillId="4" borderId="0" xfId="0" applyNumberFormat="1"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3" xfId="0" applyFont="1" applyFill="1" applyBorder="1"/>
    <xf numFmtId="0" fontId="2" fillId="4" borderId="4" xfId="0" applyFont="1" applyFill="1" applyBorder="1"/>
    <xf numFmtId="0" fontId="0" fillId="4" borderId="7" xfId="0" applyFill="1" applyBorder="1" applyAlignment="1">
      <alignment horizontal="center"/>
    </xf>
    <xf numFmtId="0" fontId="0" fillId="4" borderId="8" xfId="0" applyFill="1" applyBorder="1" applyAlignment="1">
      <alignment horizontal="center"/>
    </xf>
    <xf numFmtId="2" fontId="0" fillId="4" borderId="8" xfId="0" applyNumberFormat="1" applyFill="1" applyBorder="1" applyAlignment="1">
      <alignment horizontal="center"/>
    </xf>
    <xf numFmtId="2" fontId="2" fillId="4" borderId="8" xfId="0" applyNumberFormat="1" applyFont="1" applyFill="1" applyBorder="1" applyAlignment="1">
      <alignment horizontal="center"/>
    </xf>
    <xf numFmtId="0" fontId="2" fillId="4" borderId="7" xfId="0" applyFont="1" applyFill="1" applyBorder="1" applyAlignment="1">
      <alignment horizontal="center"/>
    </xf>
    <xf numFmtId="0" fontId="2" fillId="4" borderId="8" xfId="0" applyFont="1" applyFill="1" applyBorder="1" applyAlignment="1">
      <alignment horizontal="center"/>
    </xf>
    <xf numFmtId="0" fontId="2" fillId="4" borderId="8" xfId="0" applyFont="1" applyFill="1" applyBorder="1"/>
    <xf numFmtId="0" fontId="2" fillId="4" borderId="9" xfId="0" applyFont="1" applyFill="1" applyBorder="1"/>
    <xf numFmtId="0" fontId="2" fillId="4" borderId="2" xfId="0" applyFont="1" applyFill="1" applyBorder="1"/>
    <xf numFmtId="0" fontId="2" fillId="4" borderId="4" xfId="0" applyFont="1" applyFill="1" applyBorder="1" applyAlignment="1">
      <alignment horizontal="center"/>
    </xf>
    <xf numFmtId="0" fontId="0" fillId="0" borderId="2" xfId="0" applyBorder="1" applyAlignment="1">
      <alignment horizontal="center"/>
    </xf>
    <xf numFmtId="0" fontId="2" fillId="0" borderId="3" xfId="0" applyFont="1" applyBorder="1" applyAlignment="1">
      <alignment horizontal="center"/>
    </xf>
    <xf numFmtId="2" fontId="2" fillId="0" borderId="3" xfId="0" applyNumberFormat="1" applyFont="1" applyBorder="1" applyAlignment="1">
      <alignment horizontal="center"/>
    </xf>
    <xf numFmtId="2" fontId="2" fillId="4" borderId="3" xfId="0" applyNumberFormat="1" applyFont="1" applyFill="1" applyBorder="1" applyAlignment="1">
      <alignment horizontal="center"/>
    </xf>
    <xf numFmtId="2" fontId="0" fillId="0" borderId="4" xfId="0" applyNumberFormat="1" applyFont="1" applyBorder="1" applyAlignment="1">
      <alignment horizontal="center"/>
    </xf>
    <xf numFmtId="0" fontId="0" fillId="5" borderId="2" xfId="0" applyFill="1" applyBorder="1" applyAlignment="1">
      <alignment horizontal="center"/>
    </xf>
    <xf numFmtId="165" fontId="0" fillId="5" borderId="3" xfId="1" applyNumberFormat="1" applyFont="1" applyFill="1" applyBorder="1" applyAlignment="1">
      <alignment horizontal="center"/>
    </xf>
    <xf numFmtId="165" fontId="0" fillId="5" borderId="4" xfId="1" applyNumberFormat="1" applyFont="1" applyFill="1" applyBorder="1" applyAlignment="1">
      <alignment horizontal="center"/>
    </xf>
    <xf numFmtId="0" fontId="0" fillId="4" borderId="5" xfId="0" applyFill="1" applyBorder="1"/>
    <xf numFmtId="0" fontId="0" fillId="4" borderId="6" xfId="0" applyFont="1" applyFill="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2" fontId="0" fillId="0" borderId="0" xfId="0" applyNumberFormat="1" applyBorder="1" applyAlignment="1">
      <alignment horizontal="center"/>
    </xf>
    <xf numFmtId="2" fontId="2" fillId="0" borderId="6" xfId="0" applyNumberFormat="1" applyFont="1" applyBorder="1" applyAlignment="1">
      <alignment horizontal="center"/>
    </xf>
    <xf numFmtId="0" fontId="0" fillId="5" borderId="5" xfId="0" applyFill="1" applyBorder="1" applyAlignment="1">
      <alignment horizontal="center"/>
    </xf>
    <xf numFmtId="165" fontId="0" fillId="5" borderId="0" xfId="1" applyNumberFormat="1" applyFont="1" applyFill="1" applyBorder="1" applyAlignment="1">
      <alignment horizontal="center"/>
    </xf>
    <xf numFmtId="165" fontId="0" fillId="5" borderId="6" xfId="1" applyNumberFormat="1" applyFont="1" applyFill="1" applyBorder="1" applyAlignment="1">
      <alignment horizontal="center"/>
    </xf>
    <xf numFmtId="0" fontId="2" fillId="4" borderId="5" xfId="0" applyFont="1" applyFill="1" applyBorder="1"/>
    <xf numFmtId="0" fontId="2" fillId="4" borderId="6" xfId="0" applyFont="1" applyFill="1" applyBorder="1" applyAlignment="1">
      <alignment horizontal="center"/>
    </xf>
    <xf numFmtId="0" fontId="0" fillId="0" borderId="5" xfId="0" applyBorder="1" applyAlignment="1">
      <alignment horizontal="center"/>
    </xf>
    <xf numFmtId="2" fontId="2" fillId="0" borderId="0" xfId="0" applyNumberFormat="1" applyFont="1" applyBorder="1" applyAlignment="1">
      <alignment horizontal="center"/>
    </xf>
    <xf numFmtId="2" fontId="0" fillId="0" borderId="6" xfId="0" applyNumberFormat="1" applyFont="1" applyBorder="1" applyAlignment="1">
      <alignment horizontal="center"/>
    </xf>
    <xf numFmtId="0" fontId="0" fillId="0" borderId="0" xfId="0" applyBorder="1" applyAlignment="1">
      <alignment horizontal="center"/>
    </xf>
    <xf numFmtId="2" fontId="0" fillId="0" borderId="6" xfId="0" applyNumberFormat="1" applyBorder="1" applyAlignment="1">
      <alignment horizontal="center"/>
    </xf>
    <xf numFmtId="0" fontId="2" fillId="6" borderId="5" xfId="0" applyFont="1" applyFill="1" applyBorder="1"/>
    <xf numFmtId="0" fontId="2" fillId="6" borderId="6" xfId="0" applyFont="1" applyFill="1" applyBorder="1" applyAlignment="1">
      <alignment horizontal="center"/>
    </xf>
    <xf numFmtId="0" fontId="2" fillId="6" borderId="5" xfId="0" applyFont="1" applyFill="1" applyBorder="1" applyAlignment="1">
      <alignment horizontal="center"/>
    </xf>
    <xf numFmtId="0" fontId="2" fillId="6" borderId="0" xfId="0" applyFont="1" applyFill="1" applyBorder="1" applyAlignment="1">
      <alignment horizontal="center"/>
    </xf>
    <xf numFmtId="2" fontId="2" fillId="6" borderId="0" xfId="0" applyNumberFormat="1" applyFont="1" applyFill="1" applyBorder="1" applyAlignment="1">
      <alignment horizontal="center"/>
    </xf>
    <xf numFmtId="2" fontId="0" fillId="6" borderId="6" xfId="0" applyNumberFormat="1" applyFill="1" applyBorder="1" applyAlignment="1">
      <alignment horizontal="center"/>
    </xf>
    <xf numFmtId="0" fontId="0" fillId="6" borderId="5" xfId="0" applyFill="1" applyBorder="1"/>
    <xf numFmtId="0" fontId="0" fillId="6" borderId="6" xfId="0" applyFont="1" applyFill="1" applyBorder="1" applyAlignment="1">
      <alignment horizontal="center"/>
    </xf>
    <xf numFmtId="0" fontId="2" fillId="6" borderId="7" xfId="0" applyFont="1" applyFill="1" applyBorder="1" applyAlignment="1">
      <alignment horizontal="center"/>
    </xf>
    <xf numFmtId="0" fontId="2" fillId="6" borderId="8" xfId="0" applyFont="1" applyFill="1" applyBorder="1" applyAlignment="1">
      <alignment horizontal="center"/>
    </xf>
    <xf numFmtId="2" fontId="2" fillId="6" borderId="8" xfId="0" applyNumberFormat="1" applyFont="1" applyFill="1" applyBorder="1" applyAlignment="1">
      <alignment horizontal="center"/>
    </xf>
    <xf numFmtId="2" fontId="0" fillId="6" borderId="9" xfId="0" applyNumberFormat="1" applyFill="1" applyBorder="1" applyAlignment="1">
      <alignment horizontal="center"/>
    </xf>
    <xf numFmtId="0" fontId="0" fillId="5" borderId="7" xfId="0" applyFill="1" applyBorder="1" applyAlignment="1">
      <alignment horizontal="center"/>
    </xf>
    <xf numFmtId="165" fontId="0" fillId="5" borderId="8" xfId="1" applyNumberFormat="1" applyFont="1" applyFill="1" applyBorder="1" applyAlignment="1">
      <alignment horizontal="center"/>
    </xf>
    <xf numFmtId="166" fontId="0" fillId="5" borderId="8" xfId="1" applyNumberFormat="1" applyFont="1" applyFill="1" applyBorder="1" applyAlignment="1">
      <alignment horizontal="center"/>
    </xf>
    <xf numFmtId="166" fontId="0" fillId="5" borderId="9" xfId="1" applyNumberFormat="1" applyFont="1" applyFill="1" applyBorder="1" applyAlignment="1">
      <alignment horizontal="center"/>
    </xf>
    <xf numFmtId="0" fontId="2" fillId="4" borderId="7" xfId="0" applyFont="1" applyFill="1" applyBorder="1"/>
    <xf numFmtId="0" fontId="2" fillId="4" borderId="9" xfId="0" applyFont="1" applyFill="1" applyBorder="1" applyAlignment="1">
      <alignment horizontal="center"/>
    </xf>
    <xf numFmtId="0" fontId="0" fillId="5" borderId="10" xfId="0" applyFill="1" applyBorder="1" applyAlignment="1">
      <alignment horizontal="center"/>
    </xf>
    <xf numFmtId="165" fontId="0" fillId="5" borderId="11" xfId="0" applyNumberFormat="1"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2" fillId="0" borderId="0" xfId="0" applyFont="1"/>
    <xf numFmtId="0" fontId="5" fillId="0" borderId="0" xfId="0" applyFont="1"/>
    <xf numFmtId="2" fontId="0" fillId="5" borderId="0" xfId="0" applyNumberFormat="1" applyFill="1"/>
    <xf numFmtId="0" fontId="0" fillId="5" borderId="0" xfId="0" applyFill="1"/>
    <xf numFmtId="0" fontId="2" fillId="5" borderId="0" xfId="0" applyFont="1" applyFill="1"/>
    <xf numFmtId="0" fontId="2" fillId="7" borderId="0" xfId="0" applyFont="1" applyFill="1"/>
    <xf numFmtId="2" fontId="0" fillId="7" borderId="0" xfId="0" applyNumberFormat="1" applyFill="1" applyAlignment="1">
      <alignment horizontal="center"/>
    </xf>
    <xf numFmtId="1" fontId="0" fillId="5" borderId="0" xfId="0" applyNumberFormat="1" applyFill="1" applyAlignment="1">
      <alignment horizontal="center"/>
    </xf>
    <xf numFmtId="2" fontId="0" fillId="5" borderId="0" xfId="0" applyNumberFormat="1" applyFill="1" applyAlignment="1">
      <alignment horizontal="center"/>
    </xf>
    <xf numFmtId="0" fontId="0" fillId="5" borderId="10" xfId="0" applyFill="1" applyBorder="1" applyAlignment="1">
      <alignment horizontal="left"/>
    </xf>
    <xf numFmtId="0" fontId="0" fillId="5" borderId="11" xfId="0" applyFill="1" applyBorder="1"/>
    <xf numFmtId="2" fontId="0" fillId="5" borderId="12" xfId="0" applyNumberFormat="1" applyFill="1" applyBorder="1"/>
    <xf numFmtId="2" fontId="0" fillId="5" borderId="2" xfId="0" applyNumberFormat="1" applyFill="1" applyBorder="1" applyAlignment="1">
      <alignment horizontal="center"/>
    </xf>
    <xf numFmtId="0" fontId="2" fillId="5" borderId="3" xfId="0" applyFont="1" applyFill="1" applyBorder="1"/>
    <xf numFmtId="0" fontId="0" fillId="5" borderId="3" xfId="0" applyFill="1" applyBorder="1" applyAlignment="1">
      <alignment horizontal="center"/>
    </xf>
    <xf numFmtId="0" fontId="0" fillId="5" borderId="3" xfId="0" applyFill="1" applyBorder="1"/>
    <xf numFmtId="2" fontId="0" fillId="5" borderId="4" xfId="0" applyNumberFormat="1" applyFill="1" applyBorder="1"/>
    <xf numFmtId="2" fontId="0" fillId="5" borderId="5" xfId="0" applyNumberFormat="1" applyFill="1" applyBorder="1" applyAlignment="1">
      <alignment horizontal="center"/>
    </xf>
    <xf numFmtId="0" fontId="2" fillId="5" borderId="0" xfId="0" applyFont="1" applyFill="1" applyBorder="1"/>
    <xf numFmtId="0" fontId="0" fillId="5" borderId="0" xfId="0" applyFill="1" applyBorder="1" applyAlignment="1">
      <alignment horizontal="center"/>
    </xf>
    <xf numFmtId="0" fontId="0" fillId="5" borderId="0" xfId="0" applyFill="1" applyBorder="1"/>
    <xf numFmtId="2" fontId="0" fillId="5" borderId="6" xfId="0" applyNumberFormat="1" applyFill="1" applyBorder="1"/>
    <xf numFmtId="0" fontId="2" fillId="5" borderId="0" xfId="0" applyFont="1" applyFill="1" applyBorder="1" applyAlignment="1">
      <alignment horizontal="left"/>
    </xf>
    <xf numFmtId="2" fontId="0" fillId="5" borderId="7" xfId="0" applyNumberFormat="1" applyFill="1" applyBorder="1" applyAlignment="1">
      <alignment horizontal="center"/>
    </xf>
    <xf numFmtId="0" fontId="2" fillId="5" borderId="8" xfId="0" applyFont="1" applyFill="1" applyBorder="1" applyAlignment="1">
      <alignment horizontal="left"/>
    </xf>
    <xf numFmtId="43" fontId="0" fillId="5" borderId="8" xfId="0" applyNumberFormat="1" applyFill="1" applyBorder="1" applyAlignment="1">
      <alignment horizontal="center"/>
    </xf>
    <xf numFmtId="43" fontId="0" fillId="5" borderId="8" xfId="0" applyNumberFormat="1" applyFill="1" applyBorder="1"/>
    <xf numFmtId="2" fontId="0" fillId="5" borderId="9" xfId="0" applyNumberFormat="1" applyFill="1" applyBorder="1"/>
    <xf numFmtId="0" fontId="0" fillId="5" borderId="12" xfId="0" applyFill="1" applyBorder="1"/>
    <xf numFmtId="0" fontId="0" fillId="5" borderId="2" xfId="0" applyFill="1" applyBorder="1"/>
    <xf numFmtId="0" fontId="2" fillId="5" borderId="3" xfId="0" applyFont="1" applyFill="1" applyBorder="1" applyAlignment="1">
      <alignment horizontal="center"/>
    </xf>
    <xf numFmtId="0" fontId="2" fillId="5" borderId="4" xfId="0" applyFont="1" applyFill="1" applyBorder="1" applyAlignment="1">
      <alignment horizontal="center"/>
    </xf>
    <xf numFmtId="0" fontId="0" fillId="5" borderId="5" xfId="0" applyFill="1" applyBorder="1"/>
    <xf numFmtId="0" fontId="0" fillId="5" borderId="6" xfId="0" applyFill="1" applyBorder="1" applyAlignment="1">
      <alignment horizontal="center"/>
    </xf>
    <xf numFmtId="0" fontId="0" fillId="5" borderId="7" xfId="0" applyFill="1" applyBorder="1"/>
    <xf numFmtId="0" fontId="0" fillId="5" borderId="8" xfId="0" applyFill="1" applyBorder="1" applyAlignment="1">
      <alignment horizontal="center"/>
    </xf>
    <xf numFmtId="0" fontId="0" fillId="5" borderId="9" xfId="0" applyFill="1" applyBorder="1" applyAlignment="1">
      <alignment horizontal="center"/>
    </xf>
    <xf numFmtId="0" fontId="0" fillId="0" borderId="17" xfId="0" applyBorder="1"/>
    <xf numFmtId="0" fontId="0" fillId="0" borderId="18" xfId="0" applyBorder="1"/>
    <xf numFmtId="0" fontId="0" fillId="0" borderId="19" xfId="0" applyBorder="1"/>
    <xf numFmtId="0" fontId="2" fillId="0" borderId="21" xfId="0" applyFont="1" applyBorder="1"/>
    <xf numFmtId="0" fontId="2" fillId="0" borderId="15" xfId="0" applyFont="1" applyBorder="1"/>
    <xf numFmtId="0" fontId="0" fillId="0" borderId="16" xfId="0" applyBorder="1"/>
    <xf numFmtId="0" fontId="2" fillId="0" borderId="20" xfId="0" applyFont="1" applyFill="1" applyBorder="1"/>
    <xf numFmtId="0" fontId="0" fillId="0" borderId="13" xfId="0" applyBorder="1"/>
    <xf numFmtId="0" fontId="0" fillId="0" borderId="14" xfId="0" applyBorder="1"/>
    <xf numFmtId="0" fontId="0" fillId="0" borderId="21" xfId="0" applyBorder="1"/>
    <xf numFmtId="0" fontId="0" fillId="0" borderId="24" xfId="0" applyBorder="1"/>
    <xf numFmtId="0" fontId="0" fillId="8" borderId="0" xfId="0" applyFill="1"/>
    <xf numFmtId="0" fontId="0" fillId="9" borderId="13" xfId="0" applyFill="1" applyBorder="1"/>
    <xf numFmtId="0" fontId="0" fillId="9" borderId="22" xfId="0" applyFill="1" applyBorder="1"/>
    <xf numFmtId="0" fontId="0" fillId="2" borderId="23" xfId="0" applyFill="1" applyBorder="1"/>
    <xf numFmtId="0" fontId="0" fillId="0" borderId="15" xfId="0" applyBorder="1" applyAlignment="1">
      <alignment horizontal="center" wrapText="1"/>
    </xf>
    <xf numFmtId="0" fontId="2" fillId="0" borderId="16" xfId="0" applyFont="1" applyBorder="1" applyAlignment="1">
      <alignment horizontal="center" wrapText="1"/>
    </xf>
    <xf numFmtId="0" fontId="11" fillId="0" borderId="10" xfId="0" applyFont="1" applyBorder="1"/>
    <xf numFmtId="2" fontId="0" fillId="5" borderId="11" xfId="0" applyNumberFormat="1" applyFill="1" applyBorder="1"/>
    <xf numFmtId="0" fontId="2" fillId="0" borderId="10" xfId="0" applyFont="1" applyBorder="1"/>
    <xf numFmtId="0" fontId="2" fillId="5" borderId="12" xfId="0" applyFont="1" applyFill="1" applyBorder="1"/>
    <xf numFmtId="0" fontId="2" fillId="5" borderId="0" xfId="0" applyFont="1" applyFill="1" applyBorder="1" applyAlignment="1">
      <alignment horizontal="center"/>
    </xf>
    <xf numFmtId="0" fontId="2" fillId="5" borderId="6" xfId="0" applyFont="1" applyFill="1" applyBorder="1" applyAlignment="1">
      <alignment horizontal="center"/>
    </xf>
    <xf numFmtId="0" fontId="0" fillId="5" borderId="22" xfId="0" applyFill="1" applyBorder="1"/>
    <xf numFmtId="0" fontId="0" fillId="5" borderId="25" xfId="0" applyFill="1" applyBorder="1"/>
    <xf numFmtId="0" fontId="0" fillId="0" borderId="6" xfId="0" applyBorder="1"/>
    <xf numFmtId="0" fontId="0" fillId="0" borderId="4" xfId="0" applyBorder="1"/>
    <xf numFmtId="0" fontId="0" fillId="0" borderId="0" xfId="0" applyBorder="1"/>
    <xf numFmtId="2" fontId="0" fillId="5" borderId="0" xfId="0" applyNumberFormat="1" applyFill="1" applyBorder="1"/>
    <xf numFmtId="0" fontId="0" fillId="0" borderId="12" xfId="0" applyBorder="1"/>
    <xf numFmtId="0" fontId="2" fillId="6" borderId="30" xfId="0" applyFont="1" applyFill="1" applyBorder="1"/>
    <xf numFmtId="0" fontId="2" fillId="6" borderId="31" xfId="0" applyFont="1" applyFill="1" applyBorder="1"/>
    <xf numFmtId="167" fontId="0" fillId="5" borderId="0" xfId="0" applyNumberFormat="1" applyFill="1" applyBorder="1"/>
    <xf numFmtId="167" fontId="0" fillId="5" borderId="32" xfId="0" applyNumberFormat="1" applyFill="1" applyBorder="1"/>
    <xf numFmtId="167" fontId="0" fillId="10" borderId="0" xfId="0" applyNumberFormat="1" applyFill="1" applyBorder="1"/>
    <xf numFmtId="167" fontId="0" fillId="10" borderId="32" xfId="0" applyNumberFormat="1" applyFill="1" applyBorder="1"/>
    <xf numFmtId="167" fontId="0" fillId="10" borderId="28" xfId="0" applyNumberFormat="1" applyFill="1" applyBorder="1"/>
    <xf numFmtId="167" fontId="0" fillId="10" borderId="33" xfId="0" applyNumberFormat="1" applyFill="1" applyBorder="1"/>
    <xf numFmtId="0" fontId="0" fillId="0" borderId="3" xfId="0" applyBorder="1"/>
    <xf numFmtId="0" fontId="0" fillId="0" borderId="5" xfId="0" applyBorder="1"/>
    <xf numFmtId="0" fontId="0" fillId="0" borderId="11" xfId="0" applyBorder="1"/>
    <xf numFmtId="2" fontId="0" fillId="5" borderId="28" xfId="0" applyNumberFormat="1" applyFill="1" applyBorder="1"/>
    <xf numFmtId="2" fontId="0" fillId="5" borderId="3" xfId="0" applyNumberFormat="1" applyFill="1" applyBorder="1"/>
    <xf numFmtId="0" fontId="2" fillId="5" borderId="6" xfId="0" applyFont="1" applyFill="1" applyBorder="1"/>
    <xf numFmtId="0" fontId="2" fillId="0" borderId="2" xfId="0" applyFont="1" applyBorder="1"/>
    <xf numFmtId="0" fontId="0" fillId="5" borderId="4" xfId="0" applyFill="1" applyBorder="1"/>
    <xf numFmtId="0" fontId="0" fillId="5" borderId="6" xfId="0" applyFill="1" applyBorder="1"/>
    <xf numFmtId="0" fontId="2" fillId="0" borderId="5" xfId="0" applyFont="1" applyBorder="1"/>
    <xf numFmtId="0" fontId="11" fillId="0" borderId="5" xfId="0" applyFont="1" applyBorder="1"/>
    <xf numFmtId="0" fontId="0" fillId="0" borderId="2" xfId="0" applyBorder="1"/>
    <xf numFmtId="0" fontId="0" fillId="0" borderId="7" xfId="0" applyBorder="1"/>
    <xf numFmtId="0" fontId="0" fillId="5" borderId="8" xfId="0" applyFill="1" applyBorder="1"/>
    <xf numFmtId="0" fontId="0" fillId="5" borderId="9" xfId="0" applyFill="1" applyBorder="1"/>
    <xf numFmtId="0" fontId="0" fillId="0" borderId="27" xfId="0" applyBorder="1"/>
    <xf numFmtId="0" fontId="0" fillId="5" borderId="29" xfId="0" applyFill="1" applyBorder="1"/>
    <xf numFmtId="0" fontId="11" fillId="0" borderId="27" xfId="0" applyFont="1" applyBorder="1"/>
    <xf numFmtId="0" fontId="0" fillId="0" borderId="10" xfId="0" applyBorder="1"/>
    <xf numFmtId="0" fontId="0" fillId="2" borderId="12" xfId="0" applyFill="1" applyBorder="1"/>
    <xf numFmtId="0" fontId="0" fillId="5" borderId="13" xfId="0" applyFill="1" applyBorder="1"/>
    <xf numFmtId="167" fontId="0" fillId="5" borderId="0" xfId="0" applyNumberFormat="1" applyFill="1"/>
    <xf numFmtId="2" fontId="0" fillId="0" borderId="0" xfId="0" applyNumberFormat="1"/>
    <xf numFmtId="0" fontId="0" fillId="0" borderId="0" xfId="0" applyNumberFormat="1"/>
    <xf numFmtId="0" fontId="0" fillId="0" borderId="36" xfId="0" applyBorder="1" applyAlignment="1">
      <alignment horizontal="center" wrapText="1"/>
    </xf>
    <xf numFmtId="0" fontId="2" fillId="0" borderId="38" xfId="0" applyFont="1" applyBorder="1"/>
    <xf numFmtId="0" fontId="0" fillId="0" borderId="39" xfId="0" applyBorder="1"/>
    <xf numFmtId="0" fontId="2" fillId="0" borderId="39" xfId="0" applyFont="1" applyBorder="1"/>
    <xf numFmtId="0" fontId="0" fillId="0" borderId="40" xfId="0" applyBorder="1"/>
    <xf numFmtId="2" fontId="0" fillId="5" borderId="36" xfId="0" applyNumberFormat="1" applyFill="1" applyBorder="1"/>
    <xf numFmtId="0" fontId="2" fillId="0" borderId="41" xfId="0" applyFont="1" applyBorder="1"/>
    <xf numFmtId="0" fontId="2" fillId="0" borderId="40" xfId="0" applyFont="1" applyFill="1" applyBorder="1"/>
    <xf numFmtId="0" fontId="0" fillId="0" borderId="38" xfId="0" applyBorder="1"/>
    <xf numFmtId="0" fontId="0" fillId="5" borderId="1" xfId="0" applyFill="1" applyBorder="1"/>
    <xf numFmtId="0" fontId="0" fillId="5" borderId="18" xfId="0" applyFill="1" applyBorder="1"/>
    <xf numFmtId="0" fontId="0" fillId="5" borderId="32" xfId="0" applyFill="1" applyBorder="1"/>
    <xf numFmtId="0" fontId="0" fillId="5" borderId="20" xfId="0" applyFill="1" applyBorder="1"/>
    <xf numFmtId="0" fontId="0" fillId="8" borderId="5" xfId="0" applyFill="1" applyBorder="1" applyAlignment="1">
      <alignment horizontal="left"/>
    </xf>
    <xf numFmtId="0" fontId="2" fillId="0" borderId="42" xfId="0" applyFont="1" applyBorder="1"/>
    <xf numFmtId="0" fontId="0" fillId="5" borderId="15" xfId="0" applyFill="1" applyBorder="1"/>
    <xf numFmtId="0" fontId="0" fillId="5" borderId="35" xfId="0" applyFill="1" applyBorder="1"/>
    <xf numFmtId="0" fontId="0" fillId="0" borderId="0" xfId="0" applyAlignment="1"/>
    <xf numFmtId="0" fontId="5" fillId="0" borderId="13" xfId="0" applyFont="1" applyBorder="1"/>
    <xf numFmtId="0" fontId="2" fillId="0" borderId="22" xfId="0" applyFont="1" applyBorder="1"/>
    <xf numFmtId="0" fontId="2" fillId="0" borderId="17" xfId="0" applyFont="1" applyBorder="1"/>
    <xf numFmtId="0" fontId="2" fillId="0" borderId="18" xfId="0" applyFont="1" applyBorder="1"/>
    <xf numFmtId="0" fontId="2" fillId="0" borderId="19" xfId="0" applyFont="1" applyFill="1" applyBorder="1"/>
    <xf numFmtId="2" fontId="0" fillId="2" borderId="1" xfId="0" applyNumberFormat="1" applyFill="1" applyBorder="1"/>
    <xf numFmtId="0" fontId="5" fillId="0" borderId="10" xfId="0" applyFont="1" applyBorder="1"/>
    <xf numFmtId="0" fontId="2" fillId="0" borderId="43" xfId="0" applyFont="1" applyBorder="1"/>
    <xf numFmtId="2" fontId="0" fillId="2" borderId="20" xfId="0" applyNumberFormat="1" applyFill="1" applyBorder="1"/>
    <xf numFmtId="0" fontId="5" fillId="0" borderId="13" xfId="0" applyFont="1" applyFill="1" applyBorder="1"/>
    <xf numFmtId="0" fontId="5" fillId="5" borderId="0" xfId="0" applyFont="1" applyFill="1"/>
    <xf numFmtId="0" fontId="0" fillId="5" borderId="0" xfId="0" applyFill="1" applyAlignment="1">
      <alignment horizontal="center"/>
    </xf>
    <xf numFmtId="0" fontId="2" fillId="5" borderId="0" xfId="0" applyFont="1" applyFill="1" applyAlignment="1">
      <alignment horizontal="center"/>
    </xf>
    <xf numFmtId="164" fontId="7" fillId="5" borderId="0" xfId="0" applyNumberFormat="1" applyFont="1" applyFill="1" applyAlignment="1">
      <alignment horizontal="center"/>
    </xf>
    <xf numFmtId="0" fontId="0" fillId="2" borderId="17" xfId="0" applyFill="1" applyBorder="1"/>
    <xf numFmtId="0" fontId="0" fillId="9" borderId="17" xfId="0" applyFill="1" applyBorder="1"/>
    <xf numFmtId="0" fontId="0" fillId="5" borderId="17" xfId="0" applyFill="1" applyBorder="1"/>
    <xf numFmtId="0" fontId="0" fillId="3" borderId="19" xfId="0" applyFill="1" applyBorder="1"/>
    <xf numFmtId="0" fontId="0" fillId="8" borderId="32" xfId="0" applyFill="1" applyBorder="1" applyAlignment="1">
      <alignment horizontal="left"/>
    </xf>
    <xf numFmtId="0" fontId="2" fillId="8" borderId="5" xfId="0" applyFont="1" applyFill="1" applyBorder="1" applyAlignment="1">
      <alignment horizontal="left"/>
    </xf>
    <xf numFmtId="0" fontId="2" fillId="8" borderId="32" xfId="0" applyFont="1" applyFill="1" applyBorder="1" applyAlignment="1">
      <alignment horizontal="left"/>
    </xf>
    <xf numFmtId="0" fontId="0" fillId="8" borderId="32" xfId="0" applyFill="1" applyBorder="1"/>
    <xf numFmtId="0" fontId="0" fillId="0" borderId="0" xfId="0" applyBorder="1" applyAlignment="1">
      <alignment horizontal="left"/>
    </xf>
    <xf numFmtId="0" fontId="0" fillId="0" borderId="0" xfId="0" applyFill="1" applyBorder="1"/>
    <xf numFmtId="0" fontId="2" fillId="0" borderId="14" xfId="0" applyFont="1" applyBorder="1"/>
    <xf numFmtId="0" fontId="2" fillId="5" borderId="35" xfId="0" applyFont="1" applyFill="1" applyBorder="1"/>
    <xf numFmtId="0" fontId="2" fillId="5" borderId="1" xfId="0" applyFont="1" applyFill="1" applyBorder="1"/>
    <xf numFmtId="0" fontId="2" fillId="5" borderId="18" xfId="0" applyFont="1" applyFill="1" applyBorder="1"/>
    <xf numFmtId="0" fontId="0" fillId="2" borderId="1" xfId="0" applyFill="1" applyBorder="1"/>
    <xf numFmtId="0" fontId="0" fillId="2" borderId="20" xfId="0" applyFill="1" applyBorder="1"/>
    <xf numFmtId="0" fontId="2" fillId="2" borderId="37" xfId="0" applyFont="1" applyFill="1" applyBorder="1"/>
    <xf numFmtId="0" fontId="0" fillId="9" borderId="10" xfId="0" applyFill="1" applyBorder="1" applyAlignment="1">
      <alignment horizontal="left"/>
    </xf>
    <xf numFmtId="0" fontId="0" fillId="9" borderId="12" xfId="0" applyFill="1" applyBorder="1" applyAlignment="1">
      <alignment horizontal="left"/>
    </xf>
    <xf numFmtId="0" fontId="0" fillId="8" borderId="0" xfId="0" applyFill="1" applyAlignment="1">
      <alignment horizontal="left"/>
    </xf>
    <xf numFmtId="0" fontId="5" fillId="0" borderId="43" xfId="0" applyFont="1" applyBorder="1"/>
    <xf numFmtId="0" fontId="0" fillId="0" borderId="12" xfId="0" applyFill="1" applyBorder="1"/>
    <xf numFmtId="0" fontId="0" fillId="0" borderId="13" xfId="0" applyFill="1" applyBorder="1"/>
    <xf numFmtId="0" fontId="2" fillId="5" borderId="37" xfId="0" applyFont="1" applyFill="1" applyBorder="1"/>
    <xf numFmtId="0" fontId="2" fillId="5" borderId="23" xfId="0" applyFont="1" applyFill="1" applyBorder="1"/>
    <xf numFmtId="2" fontId="2" fillId="5" borderId="36" xfId="0" applyNumberFormat="1" applyFont="1" applyFill="1" applyBorder="1"/>
    <xf numFmtId="167" fontId="0" fillId="0" borderId="0" xfId="0" applyNumberFormat="1"/>
    <xf numFmtId="2" fontId="0" fillId="5" borderId="16" xfId="0" applyNumberFormat="1" applyFill="1" applyBorder="1"/>
    <xf numFmtId="2" fontId="0" fillId="5" borderId="1" xfId="0" applyNumberFormat="1" applyFill="1" applyBorder="1"/>
    <xf numFmtId="2" fontId="2" fillId="5" borderId="1" xfId="0" applyNumberFormat="1" applyFont="1" applyFill="1" applyBorder="1"/>
    <xf numFmtId="2" fontId="2" fillId="5" borderId="35" xfId="0" applyNumberFormat="1" applyFont="1" applyFill="1" applyBorder="1"/>
    <xf numFmtId="0" fontId="0" fillId="6" borderId="40" xfId="0" applyFill="1" applyBorder="1"/>
    <xf numFmtId="0" fontId="0" fillId="6" borderId="37" xfId="0" applyFill="1" applyBorder="1"/>
    <xf numFmtId="0" fontId="2" fillId="6" borderId="20" xfId="0" applyFont="1" applyFill="1" applyBorder="1"/>
    <xf numFmtId="0" fontId="0" fillId="6" borderId="20" xfId="0" applyFill="1" applyBorder="1"/>
    <xf numFmtId="0" fontId="2" fillId="6" borderId="21" xfId="0" applyFont="1" applyFill="1" applyBorder="1"/>
    <xf numFmtId="164" fontId="0" fillId="0" borderId="0" xfId="0" applyNumberFormat="1"/>
    <xf numFmtId="0" fontId="1" fillId="0" borderId="0" xfId="0" applyFont="1" applyBorder="1"/>
    <xf numFmtId="0" fontId="1" fillId="0" borderId="0" xfId="0" applyFont="1" applyFill="1" applyBorder="1"/>
    <xf numFmtId="167" fontId="0" fillId="5" borderId="28" xfId="0" applyNumberFormat="1" applyFill="1" applyBorder="1"/>
    <xf numFmtId="0" fontId="5" fillId="0" borderId="0" xfId="0" applyFont="1" applyFill="1"/>
    <xf numFmtId="0" fontId="0" fillId="0" borderId="0" xfId="0" applyFill="1"/>
    <xf numFmtId="2" fontId="0" fillId="0" borderId="0" xfId="0" applyNumberFormat="1" applyFill="1"/>
    <xf numFmtId="0" fontId="11" fillId="0" borderId="0" xfId="0" applyFont="1" applyFill="1"/>
    <xf numFmtId="0" fontId="0" fillId="0" borderId="8" xfId="0" applyFill="1" applyBorder="1"/>
    <xf numFmtId="0" fontId="5" fillId="0" borderId="0" xfId="0" applyFont="1" applyFill="1" applyBorder="1"/>
    <xf numFmtId="2" fontId="5" fillId="0" borderId="0" xfId="0" applyNumberFormat="1" applyFont="1" applyFill="1" applyBorder="1"/>
    <xf numFmtId="0" fontId="1" fillId="0" borderId="27" xfId="0" applyFont="1" applyBorder="1"/>
    <xf numFmtId="0" fontId="1" fillId="5" borderId="29" xfId="0" applyFont="1" applyFill="1" applyBorder="1"/>
    <xf numFmtId="0" fontId="1" fillId="0" borderId="5" xfId="0" applyFont="1" applyBorder="1"/>
    <xf numFmtId="0" fontId="1" fillId="5" borderId="6" xfId="0" applyFont="1" applyFill="1" applyBorder="1"/>
    <xf numFmtId="0" fontId="1" fillId="0" borderId="0" xfId="0" applyFont="1"/>
    <xf numFmtId="2" fontId="19" fillId="5" borderId="28" xfId="0" applyNumberFormat="1" applyFont="1" applyFill="1" applyBorder="1"/>
    <xf numFmtId="0" fontId="19" fillId="0" borderId="0" xfId="0" applyFont="1"/>
    <xf numFmtId="0" fontId="1" fillId="0" borderId="5" xfId="0" applyFont="1" applyBorder="1" applyAlignment="1">
      <alignment horizontal="center"/>
    </xf>
    <xf numFmtId="2" fontId="0" fillId="0" borderId="5" xfId="0" applyNumberFormat="1" applyBorder="1" applyAlignment="1">
      <alignment horizontal="center"/>
    </xf>
    <xf numFmtId="2" fontId="0" fillId="0" borderId="7" xfId="0" applyNumberFormat="1" applyBorder="1" applyAlignment="1">
      <alignment horizontal="center"/>
    </xf>
    <xf numFmtId="0" fontId="1" fillId="0" borderId="10" xfId="0" applyFont="1" applyBorder="1" applyAlignment="1">
      <alignment horizontal="center"/>
    </xf>
    <xf numFmtId="0" fontId="1" fillId="0" borderId="2" xfId="0" applyFont="1" applyBorder="1" applyAlignment="1">
      <alignment horizontal="center" vertical="center" wrapText="1"/>
    </xf>
    <xf numFmtId="0" fontId="1" fillId="0" borderId="7" xfId="0" applyFont="1" applyBorder="1" applyAlignment="1">
      <alignment horizont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wrapText="1"/>
    </xf>
    <xf numFmtId="0" fontId="1" fillId="0" borderId="48" xfId="0" applyFont="1" applyBorder="1" applyAlignment="1">
      <alignment horizontal="center"/>
    </xf>
    <xf numFmtId="0" fontId="1" fillId="0" borderId="34" xfId="0" applyFont="1" applyBorder="1" applyAlignment="1">
      <alignment horizontal="center"/>
    </xf>
    <xf numFmtId="0" fontId="0" fillId="0" borderId="34" xfId="0" applyBorder="1" applyAlignment="1">
      <alignment horizontal="center"/>
    </xf>
    <xf numFmtId="2" fontId="0" fillId="0" borderId="26" xfId="0" applyNumberFormat="1" applyBorder="1" applyAlignment="1">
      <alignment horizontal="center"/>
    </xf>
    <xf numFmtId="0" fontId="1" fillId="0" borderId="26" xfId="0" applyFont="1" applyBorder="1" applyAlignment="1">
      <alignment horizontal="center"/>
    </xf>
    <xf numFmtId="167" fontId="0" fillId="0" borderId="26" xfId="0" applyNumberFormat="1" applyBorder="1" applyAlignment="1">
      <alignment horizontal="center"/>
    </xf>
    <xf numFmtId="0" fontId="0" fillId="0" borderId="26" xfId="0" applyBorder="1" applyAlignment="1">
      <alignment horizontal="center"/>
    </xf>
    <xf numFmtId="2" fontId="0" fillId="0" borderId="34" xfId="0" applyNumberFormat="1" applyBorder="1" applyAlignment="1">
      <alignment horizontal="center"/>
    </xf>
    <xf numFmtId="167" fontId="0" fillId="0" borderId="34" xfId="0" applyNumberFormat="1" applyBorder="1" applyAlignment="1">
      <alignment horizontal="center"/>
    </xf>
    <xf numFmtId="0" fontId="1" fillId="0" borderId="49" xfId="0" applyFont="1" applyBorder="1" applyAlignment="1">
      <alignment horizontal="center"/>
    </xf>
    <xf numFmtId="0" fontId="1" fillId="0" borderId="51" xfId="0" applyFont="1" applyBorder="1" applyAlignment="1">
      <alignment horizontal="center" vertical="center" wrapText="1"/>
    </xf>
    <xf numFmtId="0" fontId="1" fillId="0" borderId="53" xfId="0" applyFont="1" applyBorder="1" applyAlignment="1">
      <alignment horizontal="center"/>
    </xf>
    <xf numFmtId="0" fontId="0" fillId="0" borderId="8" xfId="0" applyBorder="1"/>
    <xf numFmtId="0" fontId="1" fillId="0" borderId="22" xfId="0" applyFont="1" applyBorder="1" applyAlignment="1">
      <alignment horizontal="center" vertical="center" wrapText="1"/>
    </xf>
    <xf numFmtId="0" fontId="1" fillId="0" borderId="43" xfId="0" applyFont="1" applyBorder="1" applyAlignment="1">
      <alignment horizontal="center"/>
    </xf>
    <xf numFmtId="167" fontId="0" fillId="0" borderId="25" xfId="0" applyNumberFormat="1" applyBorder="1" applyAlignment="1">
      <alignment horizontal="center"/>
    </xf>
    <xf numFmtId="167" fontId="0" fillId="0" borderId="43" xfId="0" applyNumberFormat="1" applyBorder="1" applyAlignment="1">
      <alignment horizontal="center"/>
    </xf>
    <xf numFmtId="0" fontId="1" fillId="0" borderId="32" xfId="0" applyFont="1" applyBorder="1" applyAlignment="1">
      <alignment horizontal="center"/>
    </xf>
    <xf numFmtId="0" fontId="1" fillId="0" borderId="44" xfId="0" applyFont="1" applyBorder="1" applyAlignment="1">
      <alignment horizontal="center"/>
    </xf>
    <xf numFmtId="0" fontId="1" fillId="0" borderId="52" xfId="0" applyFont="1" applyBorder="1" applyAlignment="1">
      <alignment horizontal="center"/>
    </xf>
    <xf numFmtId="0" fontId="1" fillId="0" borderId="25" xfId="0" applyFont="1" applyBorder="1" applyAlignment="1">
      <alignment horizontal="center"/>
    </xf>
    <xf numFmtId="0" fontId="1" fillId="0" borderId="54" xfId="0" applyFont="1" applyBorder="1" applyAlignment="1">
      <alignment horizontal="center"/>
    </xf>
    <xf numFmtId="0" fontId="1" fillId="0" borderId="55" xfId="0" applyFont="1" applyBorder="1" applyAlignment="1">
      <alignment horizontal="center"/>
    </xf>
    <xf numFmtId="0" fontId="0" fillId="0" borderId="55" xfId="0" applyBorder="1" applyAlignment="1">
      <alignment horizontal="center"/>
    </xf>
    <xf numFmtId="0" fontId="1" fillId="0" borderId="13" xfId="0" applyFont="1" applyBorder="1" applyAlignment="1">
      <alignment horizontal="center"/>
    </xf>
    <xf numFmtId="0" fontId="19" fillId="0" borderId="55" xfId="0" applyFont="1" applyBorder="1" applyAlignment="1">
      <alignment horizontal="center"/>
    </xf>
    <xf numFmtId="0" fontId="19" fillId="0" borderId="50" xfId="0" applyFont="1" applyBorder="1" applyAlignment="1">
      <alignment horizontal="center"/>
    </xf>
    <xf numFmtId="0" fontId="19" fillId="0" borderId="24" xfId="0" applyFont="1" applyBorder="1" applyAlignment="1">
      <alignment horizontal="center"/>
    </xf>
    <xf numFmtId="167" fontId="0" fillId="0" borderId="2" xfId="0" applyNumberFormat="1" applyBorder="1"/>
    <xf numFmtId="2" fontId="0" fillId="0" borderId="4" xfId="0" applyNumberFormat="1" applyBorder="1"/>
    <xf numFmtId="167" fontId="0" fillId="0" borderId="5" xfId="0" applyNumberFormat="1" applyBorder="1"/>
    <xf numFmtId="2" fontId="0" fillId="0" borderId="6" xfId="0" applyNumberFormat="1" applyBorder="1"/>
    <xf numFmtId="167" fontId="0" fillId="0" borderId="6" xfId="0" applyNumberFormat="1" applyBorder="1"/>
    <xf numFmtId="0" fontId="1" fillId="0" borderId="7" xfId="0" applyFont="1" applyBorder="1"/>
    <xf numFmtId="167" fontId="0" fillId="0" borderId="9" xfId="0" applyNumberFormat="1" applyBorder="1"/>
    <xf numFmtId="2" fontId="0" fillId="0" borderId="5" xfId="0" applyNumberFormat="1" applyFill="1" applyBorder="1" applyAlignment="1">
      <alignment horizontal="center"/>
    </xf>
    <xf numFmtId="2" fontId="0" fillId="0" borderId="32" xfId="0" applyNumberFormat="1" applyFill="1" applyBorder="1" applyAlignment="1">
      <alignment horizontal="center"/>
    </xf>
    <xf numFmtId="2" fontId="0" fillId="0" borderId="26" xfId="0" applyNumberFormat="1" applyFill="1" applyBorder="1" applyAlignment="1">
      <alignment horizontal="center"/>
    </xf>
    <xf numFmtId="0" fontId="1" fillId="0" borderId="26" xfId="0" applyFont="1" applyFill="1" applyBorder="1" applyAlignment="1">
      <alignment horizontal="center"/>
    </xf>
    <xf numFmtId="167" fontId="0" fillId="0" borderId="26" xfId="0" applyNumberFormat="1" applyFill="1" applyBorder="1" applyAlignment="1">
      <alignment horizontal="center"/>
    </xf>
    <xf numFmtId="2" fontId="1" fillId="0" borderId="32" xfId="0" applyNumberFormat="1" applyFont="1" applyFill="1" applyBorder="1" applyAlignment="1">
      <alignment horizontal="center"/>
    </xf>
    <xf numFmtId="2" fontId="0" fillId="0" borderId="7" xfId="0" applyNumberFormat="1" applyFill="1" applyBorder="1" applyAlignment="1">
      <alignment horizontal="center"/>
    </xf>
    <xf numFmtId="2" fontId="1" fillId="0" borderId="48" xfId="0" applyNumberFormat="1" applyFont="1" applyFill="1" applyBorder="1" applyAlignment="1">
      <alignment horizontal="center"/>
    </xf>
    <xf numFmtId="2" fontId="0" fillId="0" borderId="34" xfId="0" applyNumberFormat="1" applyFill="1" applyBorder="1" applyAlignment="1">
      <alignment horizontal="center"/>
    </xf>
    <xf numFmtId="0" fontId="1" fillId="0" borderId="34" xfId="0" applyFont="1" applyFill="1" applyBorder="1" applyAlignment="1">
      <alignment horizontal="center"/>
    </xf>
    <xf numFmtId="167" fontId="0" fillId="0" borderId="34" xfId="0" applyNumberFormat="1" applyFill="1" applyBorder="1" applyAlignment="1">
      <alignment horizontal="center"/>
    </xf>
    <xf numFmtId="0" fontId="0" fillId="0" borderId="26" xfId="0" applyFill="1" applyBorder="1" applyAlignment="1">
      <alignment horizontal="center"/>
    </xf>
    <xf numFmtId="167" fontId="0" fillId="0" borderId="44" xfId="0" applyNumberFormat="1" applyFill="1" applyBorder="1" applyAlignment="1">
      <alignment horizontal="center"/>
    </xf>
    <xf numFmtId="167" fontId="0" fillId="0" borderId="52" xfId="0" applyNumberFormat="1" applyFill="1" applyBorder="1" applyAlignment="1">
      <alignment horizontal="center"/>
    </xf>
    <xf numFmtId="167" fontId="0" fillId="0" borderId="25" xfId="0" applyNumberFormat="1" applyFill="1" applyBorder="1" applyAlignment="1">
      <alignment horizontal="center"/>
    </xf>
    <xf numFmtId="0" fontId="0" fillId="0" borderId="34" xfId="0" applyFill="1" applyBorder="1" applyAlignment="1">
      <alignment horizontal="center"/>
    </xf>
    <xf numFmtId="167" fontId="0" fillId="0" borderId="49" xfId="0" applyNumberFormat="1" applyFill="1" applyBorder="1" applyAlignment="1">
      <alignment horizontal="center"/>
    </xf>
    <xf numFmtId="167" fontId="0" fillId="0" borderId="53" xfId="0" applyNumberFormat="1" applyFill="1" applyBorder="1" applyAlignment="1">
      <alignment horizontal="center"/>
    </xf>
    <xf numFmtId="167" fontId="0" fillId="0" borderId="43" xfId="0" applyNumberFormat="1" applyFill="1" applyBorder="1" applyAlignment="1">
      <alignment horizontal="center"/>
    </xf>
    <xf numFmtId="2" fontId="0" fillId="0" borderId="9" xfId="0" applyNumberFormat="1" applyBorder="1"/>
    <xf numFmtId="0" fontId="23" fillId="0" borderId="0" xfId="0" applyFont="1"/>
    <xf numFmtId="0" fontId="11" fillId="0" borderId="46" xfId="0" applyFont="1" applyBorder="1" applyAlignment="1">
      <alignment horizontal="center" vertical="center" wrapText="1"/>
    </xf>
    <xf numFmtId="0" fontId="1" fillId="0" borderId="0" xfId="0" applyFont="1" applyFill="1" applyBorder="1" applyAlignment="1">
      <alignment horizontal="center"/>
    </xf>
    <xf numFmtId="0" fontId="1" fillId="0" borderId="0" xfId="0" applyFont="1" applyAlignment="1">
      <alignment vertical="center"/>
    </xf>
    <xf numFmtId="2" fontId="0" fillId="0" borderId="2" xfId="0" applyNumberFormat="1" applyBorder="1"/>
    <xf numFmtId="2" fontId="0" fillId="0" borderId="5" xfId="0" applyNumberFormat="1" applyBorder="1"/>
    <xf numFmtId="0" fontId="0" fillId="0" borderId="9" xfId="0" applyBorder="1"/>
    <xf numFmtId="167" fontId="0" fillId="0" borderId="22" xfId="0" applyNumberFormat="1" applyBorder="1"/>
    <xf numFmtId="167" fontId="0" fillId="0" borderId="43" xfId="0" applyNumberFormat="1" applyBorder="1"/>
    <xf numFmtId="2" fontId="24" fillId="0" borderId="0" xfId="0" applyNumberFormat="1" applyFont="1"/>
    <xf numFmtId="167" fontId="0" fillId="0" borderId="4" xfId="0" applyNumberFormat="1" applyBorder="1"/>
    <xf numFmtId="2" fontId="0" fillId="0" borderId="7" xfId="0" applyNumberFormat="1" applyBorder="1"/>
    <xf numFmtId="2" fontId="1" fillId="0" borderId="0" xfId="0" applyNumberFormat="1" applyFont="1"/>
    <xf numFmtId="0" fontId="0" fillId="0" borderId="0" xfId="0" applyAlignment="1">
      <alignment horizontal="center"/>
    </xf>
    <xf numFmtId="0" fontId="0" fillId="0" borderId="44" xfId="0" applyBorder="1"/>
    <xf numFmtId="0" fontId="5" fillId="0" borderId="44" xfId="0" applyFont="1" applyBorder="1"/>
    <xf numFmtId="0" fontId="1" fillId="0" borderId="44" xfId="0" applyFont="1" applyBorder="1"/>
    <xf numFmtId="0" fontId="2" fillId="6" borderId="56" xfId="0" quotePrefix="1" applyFont="1" applyFill="1" applyBorder="1"/>
    <xf numFmtId="0" fontId="0" fillId="5" borderId="44" xfId="0" applyFill="1" applyBorder="1"/>
    <xf numFmtId="0" fontId="0" fillId="10" borderId="44" xfId="0" applyFill="1" applyBorder="1"/>
    <xf numFmtId="0" fontId="0" fillId="10" borderId="57" xfId="0" applyFill="1" applyBorder="1"/>
    <xf numFmtId="0" fontId="24" fillId="0" borderId="0" xfId="0" applyFont="1"/>
    <xf numFmtId="0" fontId="1" fillId="0" borderId="2" xfId="0" applyFont="1" applyBorder="1"/>
    <xf numFmtId="167" fontId="0" fillId="0" borderId="3" xfId="0" applyNumberFormat="1" applyBorder="1"/>
    <xf numFmtId="0" fontId="1" fillId="0" borderId="3" xfId="0" applyFont="1" applyBorder="1"/>
    <xf numFmtId="2" fontId="0" fillId="0" borderId="0" xfId="0" applyNumberFormat="1" applyBorder="1" applyAlignment="1">
      <alignment horizontal="right"/>
    </xf>
    <xf numFmtId="0" fontId="1" fillId="0" borderId="0" xfId="0" applyFont="1" applyBorder="1" applyAlignment="1">
      <alignment horizontal="center"/>
    </xf>
    <xf numFmtId="0" fontId="0" fillId="0" borderId="8" xfId="0" applyBorder="1" applyAlignment="1">
      <alignment horizontal="right"/>
    </xf>
    <xf numFmtId="0" fontId="0" fillId="0" borderId="8" xfId="0" applyBorder="1" applyAlignment="1">
      <alignment horizontal="center"/>
    </xf>
    <xf numFmtId="1" fontId="0" fillId="0" borderId="0" xfId="0" applyNumberFormat="1" applyAlignment="1">
      <alignment horizontal="center"/>
    </xf>
    <xf numFmtId="0" fontId="5" fillId="0" borderId="0" xfId="0" applyFont="1" applyBorder="1"/>
    <xf numFmtId="0" fontId="25" fillId="12" borderId="0" xfId="0" applyFont="1" applyFill="1" applyBorder="1"/>
    <xf numFmtId="0" fontId="0" fillId="12" borderId="0" xfId="0" applyFill="1" applyBorder="1"/>
    <xf numFmtId="0" fontId="1" fillId="0" borderId="0" xfId="0" applyNumberFormat="1" applyFont="1" applyBorder="1"/>
    <xf numFmtId="2" fontId="1" fillId="0" borderId="0" xfId="0" applyNumberFormat="1" applyFont="1" applyBorder="1" applyAlignment="1">
      <alignment horizontal="left"/>
    </xf>
    <xf numFmtId="0" fontId="0" fillId="12" borderId="0" xfId="0" applyFill="1" applyBorder="1" applyAlignment="1">
      <alignment horizontal="center"/>
    </xf>
    <xf numFmtId="0" fontId="1" fillId="0" borderId="0" xfId="0" applyFont="1" applyBorder="1" applyAlignment="1">
      <alignment horizontal="left"/>
    </xf>
    <xf numFmtId="1" fontId="0" fillId="0" borderId="0" xfId="0" applyNumberFormat="1" applyBorder="1" applyAlignment="1">
      <alignment horizontal="center"/>
    </xf>
    <xf numFmtId="2" fontId="5" fillId="0" borderId="0" xfId="0" applyNumberFormat="1" applyFont="1" applyBorder="1" applyAlignment="1">
      <alignment horizontal="center"/>
    </xf>
    <xf numFmtId="0" fontId="26" fillId="12" borderId="0" xfId="0" applyFont="1" applyFill="1" applyBorder="1"/>
    <xf numFmtId="2" fontId="5" fillId="0" borderId="0" xfId="0" applyNumberFormat="1" applyFont="1"/>
    <xf numFmtId="0" fontId="27" fillId="0" borderId="2" xfId="0" applyFont="1" applyBorder="1" applyAlignment="1">
      <alignment horizontal="center" wrapText="1"/>
    </xf>
    <xf numFmtId="0" fontId="27" fillId="0" borderId="3" xfId="0" applyFont="1" applyBorder="1" applyAlignment="1">
      <alignment horizontal="center" wrapText="1"/>
    </xf>
    <xf numFmtId="0" fontId="27" fillId="0" borderId="3" xfId="0" applyFont="1" applyBorder="1" applyAlignment="1">
      <alignment horizontal="center"/>
    </xf>
    <xf numFmtId="0" fontId="28" fillId="0" borderId="3" xfId="0" applyFont="1" applyBorder="1" applyAlignment="1">
      <alignment horizontal="center"/>
    </xf>
    <xf numFmtId="0" fontId="27" fillId="0" borderId="4" xfId="0" applyFont="1" applyBorder="1" applyAlignment="1">
      <alignment horizontal="center"/>
    </xf>
    <xf numFmtId="2" fontId="27" fillId="0" borderId="5" xfId="0" applyNumberFormat="1" applyFont="1" applyBorder="1" applyAlignment="1">
      <alignment horizontal="center"/>
    </xf>
    <xf numFmtId="2" fontId="27" fillId="0" borderId="0" xfId="0" applyNumberFormat="1" applyFont="1" applyBorder="1" applyAlignment="1">
      <alignment horizontal="center"/>
    </xf>
    <xf numFmtId="0" fontId="27" fillId="0" borderId="0" xfId="0" applyFont="1" applyBorder="1" applyAlignment="1">
      <alignment horizontal="center"/>
    </xf>
    <xf numFmtId="0" fontId="27" fillId="0" borderId="6" xfId="0" applyFont="1" applyBorder="1" applyAlignment="1">
      <alignment horizontal="center"/>
    </xf>
    <xf numFmtId="2" fontId="27" fillId="0" borderId="7" xfId="0" applyNumberFormat="1" applyFont="1" applyBorder="1"/>
    <xf numFmtId="0" fontId="27" fillId="0" borderId="8" xfId="0" applyFont="1" applyBorder="1"/>
    <xf numFmtId="2" fontId="27" fillId="0" borderId="7" xfId="0" applyNumberFormat="1" applyFont="1" applyBorder="1" applyAlignment="1">
      <alignment horizontal="center"/>
    </xf>
    <xf numFmtId="2" fontId="27" fillId="0" borderId="8" xfId="0" applyNumberFormat="1" applyFont="1" applyBorder="1" applyAlignment="1">
      <alignment horizontal="center"/>
    </xf>
    <xf numFmtId="0" fontId="27" fillId="0" borderId="8" xfId="0" applyFont="1" applyBorder="1" applyAlignment="1">
      <alignment horizontal="center"/>
    </xf>
    <xf numFmtId="0" fontId="27" fillId="0" borderId="9" xfId="0" applyFont="1" applyBorder="1" applyAlignment="1">
      <alignment horizontal="center"/>
    </xf>
    <xf numFmtId="2" fontId="0" fillId="0" borderId="0" xfId="0" applyNumberFormat="1" applyBorder="1"/>
    <xf numFmtId="0" fontId="1" fillId="0" borderId="0" xfId="0" applyFont="1" applyBorder="1" applyAlignment="1">
      <alignment vertical="center"/>
    </xf>
    <xf numFmtId="167" fontId="0" fillId="0" borderId="0" xfId="0" applyNumberFormat="1" applyBorder="1" applyAlignment="1">
      <alignment horizontal="center"/>
    </xf>
    <xf numFmtId="0" fontId="1" fillId="0" borderId="0" xfId="0" quotePrefix="1" applyFont="1"/>
    <xf numFmtId="0" fontId="23" fillId="0" borderId="0" xfId="0" applyFont="1" applyBorder="1"/>
    <xf numFmtId="0" fontId="1" fillId="0" borderId="0" xfId="0" applyFont="1" applyFill="1"/>
    <xf numFmtId="167" fontId="27" fillId="0" borderId="0" xfId="0" applyNumberFormat="1" applyFont="1" applyBorder="1" applyAlignment="1">
      <alignment horizontal="center"/>
    </xf>
    <xf numFmtId="167" fontId="27" fillId="0" borderId="8" xfId="0" applyNumberFormat="1" applyFont="1" applyBorder="1" applyAlignment="1">
      <alignment horizontal="center"/>
    </xf>
    <xf numFmtId="167" fontId="27" fillId="0" borderId="6" xfId="0" applyNumberFormat="1" applyFont="1" applyBorder="1" applyAlignment="1">
      <alignment horizontal="center"/>
    </xf>
    <xf numFmtId="167" fontId="27" fillId="0" borderId="9" xfId="0" applyNumberFormat="1" applyFont="1" applyBorder="1" applyAlignment="1">
      <alignment horizontal="center"/>
    </xf>
    <xf numFmtId="0" fontId="0" fillId="0" borderId="0" xfId="0" applyBorder="1" applyAlignment="1">
      <alignment horizontal="right"/>
    </xf>
    <xf numFmtId="0" fontId="0" fillId="0" borderId="0" xfId="0" applyAlignment="1">
      <alignment horizontal="right"/>
    </xf>
    <xf numFmtId="2" fontId="19" fillId="5" borderId="0" xfId="0" applyNumberFormat="1" applyFont="1" applyFill="1" applyBorder="1"/>
    <xf numFmtId="0" fontId="5" fillId="0" borderId="5" xfId="0" applyFont="1" applyBorder="1"/>
    <xf numFmtId="0" fontId="0" fillId="13" borderId="0" xfId="0" applyFill="1"/>
    <xf numFmtId="2" fontId="0" fillId="13" borderId="32" xfId="0" applyNumberFormat="1" applyFill="1" applyBorder="1" applyAlignment="1">
      <alignment horizontal="center"/>
    </xf>
    <xf numFmtId="2" fontId="1" fillId="13" borderId="32" xfId="0" applyNumberFormat="1" applyFont="1" applyFill="1" applyBorder="1" applyAlignment="1">
      <alignment horizontal="center"/>
    </xf>
    <xf numFmtId="2" fontId="1" fillId="13" borderId="48" xfId="0" applyNumberFormat="1" applyFont="1" applyFill="1" applyBorder="1" applyAlignment="1">
      <alignment horizontal="center"/>
    </xf>
    <xf numFmtId="0" fontId="1" fillId="13" borderId="26" xfId="0" applyFont="1" applyFill="1" applyBorder="1" applyAlignment="1">
      <alignment horizontal="center"/>
    </xf>
    <xf numFmtId="167" fontId="0" fillId="13" borderId="26" xfId="0" applyNumberFormat="1" applyFill="1" applyBorder="1" applyAlignment="1">
      <alignment horizontal="center"/>
    </xf>
    <xf numFmtId="0" fontId="1" fillId="13" borderId="34" xfId="0" applyFont="1" applyFill="1" applyBorder="1" applyAlignment="1">
      <alignment horizontal="center"/>
    </xf>
    <xf numFmtId="167" fontId="0" fillId="13" borderId="34" xfId="0" applyNumberFormat="1" applyFill="1" applyBorder="1" applyAlignment="1">
      <alignment horizontal="center"/>
    </xf>
    <xf numFmtId="167" fontId="0" fillId="13" borderId="44" xfId="0" applyNumberFormat="1" applyFill="1" applyBorder="1" applyAlignment="1">
      <alignment horizontal="center"/>
    </xf>
    <xf numFmtId="0" fontId="0" fillId="13" borderId="52" xfId="0" applyFill="1" applyBorder="1" applyAlignment="1">
      <alignment horizontal="center"/>
    </xf>
    <xf numFmtId="167" fontId="0" fillId="13" borderId="49" xfId="0" applyNumberFormat="1" applyFill="1" applyBorder="1" applyAlignment="1">
      <alignment horizontal="center"/>
    </xf>
    <xf numFmtId="0" fontId="0" fillId="13" borderId="53" xfId="0" applyFill="1" applyBorder="1" applyAlignment="1">
      <alignment horizontal="center"/>
    </xf>
    <xf numFmtId="2" fontId="0" fillId="13" borderId="0" xfId="0" applyNumberFormat="1" applyFill="1"/>
    <xf numFmtId="0" fontId="0" fillId="13" borderId="0" xfId="0" applyFill="1" applyAlignment="1">
      <alignment horizontal="center" vertical="center"/>
    </xf>
    <xf numFmtId="0" fontId="5" fillId="13" borderId="0" xfId="0" applyFont="1" applyFill="1"/>
    <xf numFmtId="0" fontId="2" fillId="9" borderId="10" xfId="0" applyFont="1" applyFill="1" applyBorder="1" applyAlignment="1">
      <alignment horizontal="center"/>
    </xf>
    <xf numFmtId="0" fontId="2" fillId="9" borderId="12" xfId="0" applyFont="1" applyFill="1" applyBorder="1" applyAlignment="1">
      <alignment horizontal="center"/>
    </xf>
    <xf numFmtId="0" fontId="0" fillId="8" borderId="44" xfId="0" applyFill="1" applyBorder="1" applyAlignment="1">
      <alignment horizontal="left"/>
    </xf>
    <xf numFmtId="0" fontId="0" fillId="8" borderId="0" xfId="0" applyFill="1" applyAlignment="1">
      <alignment horizontal="left"/>
    </xf>
    <xf numFmtId="0" fontId="5" fillId="8" borderId="14" xfId="0" applyFont="1" applyFill="1" applyBorder="1" applyAlignment="1">
      <alignment horizontal="left"/>
    </xf>
    <xf numFmtId="0" fontId="5" fillId="8" borderId="15" xfId="0" applyFont="1" applyFill="1" applyBorder="1" applyAlignment="1">
      <alignment horizontal="left"/>
    </xf>
    <xf numFmtId="0" fontId="0" fillId="0" borderId="1" xfId="0" applyBorder="1" applyAlignment="1">
      <alignment horizontal="left"/>
    </xf>
    <xf numFmtId="0" fontId="0" fillId="0" borderId="18" xfId="0" applyBorder="1" applyAlignment="1">
      <alignment horizontal="left"/>
    </xf>
    <xf numFmtId="0" fontId="0" fillId="9" borderId="15" xfId="0" applyFill="1" applyBorder="1" applyAlignment="1">
      <alignment horizontal="center"/>
    </xf>
    <xf numFmtId="0" fontId="0" fillId="9" borderId="16" xfId="0" applyFill="1" applyBorder="1" applyAlignment="1">
      <alignment horizontal="center"/>
    </xf>
    <xf numFmtId="0" fontId="0" fillId="9" borderId="10" xfId="0" applyFill="1" applyBorder="1" applyAlignment="1">
      <alignment horizontal="left"/>
    </xf>
    <xf numFmtId="0" fontId="0" fillId="9" borderId="12" xfId="0" applyFill="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1" fillId="0" borderId="7" xfId="0" applyFont="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21" fillId="9" borderId="10" xfId="2" applyFont="1" applyFill="1" applyBorder="1" applyAlignment="1">
      <alignment horizontal="left"/>
    </xf>
    <xf numFmtId="0" fontId="21" fillId="9" borderId="11" xfId="2" applyFont="1" applyFill="1" applyBorder="1" applyAlignment="1">
      <alignment horizontal="left"/>
    </xf>
    <xf numFmtId="0" fontId="21" fillId="9" borderId="12" xfId="2" applyFont="1" applyFill="1" applyBorder="1" applyAlignment="1">
      <alignment horizontal="left"/>
    </xf>
    <xf numFmtId="0" fontId="0" fillId="9" borderId="1" xfId="0" applyFill="1" applyBorder="1" applyAlignment="1">
      <alignment horizontal="center"/>
    </xf>
    <xf numFmtId="0" fontId="0" fillId="9" borderId="18" xfId="0" applyFill="1" applyBorder="1" applyAlignment="1">
      <alignment horizontal="center"/>
    </xf>
    <xf numFmtId="0" fontId="0" fillId="0" borderId="0" xfId="0" applyAlignment="1">
      <alignment horizontal="center"/>
    </xf>
    <xf numFmtId="0" fontId="1" fillId="0" borderId="0" xfId="0" applyFont="1" applyBorder="1" applyAlignment="1">
      <alignment horizontal="left" wrapText="1"/>
    </xf>
  </cellXfs>
  <cellStyles count="3">
    <cellStyle name="Goed" xfId="2" builtinId="26"/>
    <cellStyle name="Komma" xfId="1" builtinId="3"/>
    <cellStyle name="Standaard" xfId="0" builtinId="0"/>
  </cellStyles>
  <dxfs count="2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lor rgb="FF9C0006"/>
      </font>
      <fill>
        <patternFill>
          <bgColor rgb="FFFFC7CE"/>
        </patternFill>
      </fill>
    </dxf>
    <dxf>
      <font>
        <color rgb="FF006100"/>
      </font>
      <fill>
        <patternFill>
          <bgColor rgb="FFC6EFCE"/>
        </patternFill>
      </fill>
    </dxf>
    <dxf>
      <fill>
        <patternFill>
          <bgColor rgb="FFFF0000"/>
        </patternFill>
      </fill>
    </dxf>
  </dxfs>
  <tableStyles count="0" defaultTableStyle="TableStyleMedium2" defaultPivotStyle="PivotStyleLight16"/>
  <colors>
    <mruColors>
      <color rgb="FF9BC2E6"/>
      <color rgb="FF0061AD"/>
      <color rgb="FF0061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16</xdr:col>
      <xdr:colOff>314325</xdr:colOff>
      <xdr:row>1</xdr:row>
      <xdr:rowOff>76200</xdr:rowOff>
    </xdr:from>
    <xdr:to>
      <xdr:col>24</xdr:col>
      <xdr:colOff>115420</xdr:colOff>
      <xdr:row>33</xdr:row>
      <xdr:rowOff>201922</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2172950" y="247650"/>
          <a:ext cx="4906495" cy="55359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110174</xdr:colOff>
      <xdr:row>0</xdr:row>
      <xdr:rowOff>23132</xdr:rowOff>
    </xdr:from>
    <xdr:to>
      <xdr:col>41</xdr:col>
      <xdr:colOff>289015</xdr:colOff>
      <xdr:row>27</xdr:row>
      <xdr:rowOff>38668</xdr:rowOff>
    </xdr:to>
    <xdr:pic>
      <xdr:nvPicPr>
        <xdr:cNvPr id="4" name="Afbeelding 3">
          <a:extLst>
            <a:ext uri="{FF2B5EF4-FFF2-40B4-BE49-F238E27FC236}">
              <a16:creationId xmlns:a16="http://schemas.microsoft.com/office/drawing/2014/main" id="{FCB2E61A-475D-4D72-B32C-D68B2F241AB4}"/>
            </a:ext>
          </a:extLst>
        </xdr:cNvPr>
        <xdr:cNvPicPr>
          <a:picLocks noChangeAspect="1"/>
        </xdr:cNvPicPr>
      </xdr:nvPicPr>
      <xdr:blipFill>
        <a:blip xmlns:r="http://schemas.openxmlformats.org/officeDocument/2006/relationships" r:embed="rId1"/>
        <a:stretch>
          <a:fillRect/>
        </a:stretch>
      </xdr:blipFill>
      <xdr:spPr>
        <a:xfrm>
          <a:off x="16806138" y="23132"/>
          <a:ext cx="8751341" cy="4941322"/>
        </a:xfrm>
        <a:prstGeom prst="rect">
          <a:avLst/>
        </a:prstGeom>
      </xdr:spPr>
    </xdr:pic>
    <xdr:clientData/>
  </xdr:twoCellAnchor>
  <xdr:twoCellAnchor editAs="oneCell">
    <xdr:from>
      <xdr:col>26</xdr:col>
      <xdr:colOff>421820</xdr:colOff>
      <xdr:row>27</xdr:row>
      <xdr:rowOff>157840</xdr:rowOff>
    </xdr:from>
    <xdr:to>
      <xdr:col>41</xdr:col>
      <xdr:colOff>68712</xdr:colOff>
      <xdr:row>50</xdr:row>
      <xdr:rowOff>145143</xdr:rowOff>
    </xdr:to>
    <xdr:pic>
      <xdr:nvPicPr>
        <xdr:cNvPr id="5" name="Afbeelding 4">
          <a:extLst>
            <a:ext uri="{FF2B5EF4-FFF2-40B4-BE49-F238E27FC236}">
              <a16:creationId xmlns:a16="http://schemas.microsoft.com/office/drawing/2014/main" id="{292B8E44-6047-4DFE-B392-FD6EB918A701}"/>
            </a:ext>
          </a:extLst>
        </xdr:cNvPr>
        <xdr:cNvPicPr>
          <a:picLocks noChangeAspect="1"/>
        </xdr:cNvPicPr>
      </xdr:nvPicPr>
      <xdr:blipFill>
        <a:blip xmlns:r="http://schemas.openxmlformats.org/officeDocument/2006/relationships" r:embed="rId2"/>
        <a:stretch>
          <a:fillRect/>
        </a:stretch>
      </xdr:blipFill>
      <xdr:spPr>
        <a:xfrm>
          <a:off x="16505463" y="5083626"/>
          <a:ext cx="8831713" cy="37836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32</xdr:col>
      <xdr:colOff>322118</xdr:colOff>
      <xdr:row>4</xdr:row>
      <xdr:rowOff>13855</xdr:rowOff>
    </xdr:from>
    <xdr:to>
      <xdr:col>41</xdr:col>
      <xdr:colOff>597624</xdr:colOff>
      <xdr:row>32</xdr:row>
      <xdr:rowOff>108124</xdr:rowOff>
    </xdr:to>
    <xdr:pic>
      <xdr:nvPicPr>
        <xdr:cNvPr id="2" name="Afbeelding 1">
          <a:extLst>
            <a:ext uri="{FF2B5EF4-FFF2-40B4-BE49-F238E27FC236}">
              <a16:creationId xmlns:a16="http://schemas.microsoft.com/office/drawing/2014/main" id="{5DABE904-D6DA-4C3B-A7AC-6058479EE22D}"/>
            </a:ext>
          </a:extLst>
        </xdr:cNvPr>
        <xdr:cNvPicPr>
          <a:picLocks noChangeAspect="1"/>
        </xdr:cNvPicPr>
      </xdr:nvPicPr>
      <xdr:blipFill>
        <a:blip xmlns:r="http://schemas.openxmlformats.org/officeDocument/2006/relationships" r:embed="rId1"/>
        <a:stretch>
          <a:fillRect/>
        </a:stretch>
      </xdr:blipFill>
      <xdr:spPr>
        <a:xfrm>
          <a:off x="19718482" y="689264"/>
          <a:ext cx="5730732" cy="53243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314325</xdr:colOff>
      <xdr:row>54</xdr:row>
      <xdr:rowOff>9525</xdr:rowOff>
    </xdr:from>
    <xdr:to>
      <xdr:col>8</xdr:col>
      <xdr:colOff>543365</xdr:colOff>
      <xdr:row>65</xdr:row>
      <xdr:rowOff>114300</xdr:rowOff>
    </xdr:to>
    <xdr:pic>
      <xdr:nvPicPr>
        <xdr:cNvPr id="2" name="Afbeelding 1">
          <a:extLst>
            <a:ext uri="{FF2B5EF4-FFF2-40B4-BE49-F238E27FC236}">
              <a16:creationId xmlns:a16="http://schemas.microsoft.com/office/drawing/2014/main" id="{D825834E-5986-47F5-A19A-B8BE6490F198}"/>
            </a:ext>
          </a:extLst>
        </xdr:cNvPr>
        <xdr:cNvPicPr>
          <a:picLocks noChangeAspect="1"/>
        </xdr:cNvPicPr>
      </xdr:nvPicPr>
      <xdr:blipFill>
        <a:blip xmlns:r="http://schemas.openxmlformats.org/officeDocument/2006/relationships" r:embed="rId1"/>
        <a:stretch>
          <a:fillRect/>
        </a:stretch>
      </xdr:blipFill>
      <xdr:spPr>
        <a:xfrm>
          <a:off x="2752725" y="8362950"/>
          <a:ext cx="2667440" cy="2076450"/>
        </a:xfrm>
        <a:prstGeom prst="rect">
          <a:avLst/>
        </a:prstGeom>
      </xdr:spPr>
    </xdr:pic>
    <xdr:clientData/>
  </xdr:twoCellAnchor>
  <xdr:twoCellAnchor editAs="oneCell">
    <xdr:from>
      <xdr:col>4</xdr:col>
      <xdr:colOff>333375</xdr:colOff>
      <xdr:row>67</xdr:row>
      <xdr:rowOff>28575</xdr:rowOff>
    </xdr:from>
    <xdr:to>
      <xdr:col>8</xdr:col>
      <xdr:colOff>571165</xdr:colOff>
      <xdr:row>81</xdr:row>
      <xdr:rowOff>142525</xdr:rowOff>
    </xdr:to>
    <xdr:pic>
      <xdr:nvPicPr>
        <xdr:cNvPr id="3" name="Afbeelding 2">
          <a:extLst>
            <a:ext uri="{FF2B5EF4-FFF2-40B4-BE49-F238E27FC236}">
              <a16:creationId xmlns:a16="http://schemas.microsoft.com/office/drawing/2014/main" id="{E17F387E-14EF-49C3-8BC9-15B65FB37001}"/>
            </a:ext>
          </a:extLst>
        </xdr:cNvPr>
        <xdr:cNvPicPr>
          <a:picLocks noChangeAspect="1"/>
        </xdr:cNvPicPr>
      </xdr:nvPicPr>
      <xdr:blipFill>
        <a:blip xmlns:r="http://schemas.openxmlformats.org/officeDocument/2006/relationships" r:embed="rId2"/>
        <a:stretch>
          <a:fillRect/>
        </a:stretch>
      </xdr:blipFill>
      <xdr:spPr>
        <a:xfrm>
          <a:off x="2771775" y="10563225"/>
          <a:ext cx="2676190" cy="2800000"/>
        </a:xfrm>
        <a:prstGeom prst="rect">
          <a:avLst/>
        </a:prstGeom>
      </xdr:spPr>
    </xdr:pic>
    <xdr:clientData/>
  </xdr:twoCellAnchor>
  <xdr:twoCellAnchor editAs="oneCell">
    <xdr:from>
      <xdr:col>4</xdr:col>
      <xdr:colOff>361950</xdr:colOff>
      <xdr:row>119</xdr:row>
      <xdr:rowOff>38100</xdr:rowOff>
    </xdr:from>
    <xdr:to>
      <xdr:col>8</xdr:col>
      <xdr:colOff>590990</xdr:colOff>
      <xdr:row>131</xdr:row>
      <xdr:rowOff>95250</xdr:rowOff>
    </xdr:to>
    <xdr:pic>
      <xdr:nvPicPr>
        <xdr:cNvPr id="4" name="Afbeelding 3">
          <a:extLst>
            <a:ext uri="{FF2B5EF4-FFF2-40B4-BE49-F238E27FC236}">
              <a16:creationId xmlns:a16="http://schemas.microsoft.com/office/drawing/2014/main" id="{27E8291B-6DDB-4BFD-A065-901A8925E869}"/>
            </a:ext>
          </a:extLst>
        </xdr:cNvPr>
        <xdr:cNvPicPr>
          <a:picLocks noChangeAspect="1"/>
        </xdr:cNvPicPr>
      </xdr:nvPicPr>
      <xdr:blipFill>
        <a:blip xmlns:r="http://schemas.openxmlformats.org/officeDocument/2006/relationships" r:embed="rId1"/>
        <a:stretch>
          <a:fillRect/>
        </a:stretch>
      </xdr:blipFill>
      <xdr:spPr>
        <a:xfrm>
          <a:off x="2800350" y="20078700"/>
          <a:ext cx="2667440" cy="2076450"/>
        </a:xfrm>
        <a:prstGeom prst="rect">
          <a:avLst/>
        </a:prstGeom>
      </xdr:spPr>
    </xdr:pic>
    <xdr:clientData/>
  </xdr:twoCellAnchor>
  <xdr:twoCellAnchor editAs="oneCell">
    <xdr:from>
      <xdr:col>4</xdr:col>
      <xdr:colOff>352425</xdr:colOff>
      <xdr:row>133</xdr:row>
      <xdr:rowOff>0</xdr:rowOff>
    </xdr:from>
    <xdr:to>
      <xdr:col>8</xdr:col>
      <xdr:colOff>590215</xdr:colOff>
      <xdr:row>147</xdr:row>
      <xdr:rowOff>113950</xdr:rowOff>
    </xdr:to>
    <xdr:pic>
      <xdr:nvPicPr>
        <xdr:cNvPr id="5" name="Afbeelding 4">
          <a:extLst>
            <a:ext uri="{FF2B5EF4-FFF2-40B4-BE49-F238E27FC236}">
              <a16:creationId xmlns:a16="http://schemas.microsoft.com/office/drawing/2014/main" id="{14AFE3DD-0278-4966-AF6E-81DC2DF27B24}"/>
            </a:ext>
          </a:extLst>
        </xdr:cNvPr>
        <xdr:cNvPicPr>
          <a:picLocks noChangeAspect="1"/>
        </xdr:cNvPicPr>
      </xdr:nvPicPr>
      <xdr:blipFill>
        <a:blip xmlns:r="http://schemas.openxmlformats.org/officeDocument/2006/relationships" r:embed="rId2"/>
        <a:stretch>
          <a:fillRect/>
        </a:stretch>
      </xdr:blipFill>
      <xdr:spPr>
        <a:xfrm>
          <a:off x="2790825" y="22402800"/>
          <a:ext cx="2676190" cy="2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brvanthek.local\DfsRoot\Users\wilmar.vanmoorsel\Documents\Oude%20versies\Begaanbaarheid%20bouwterreinen%20Beta_TEST%20vers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aan en situatie gegevens"/>
      <sheetName val="Tabel C1 belastingen"/>
      <sheetName val="Funderingsoppervlak"/>
      <sheetName val="Tabel C2 Samenvatting"/>
      <sheetName val="D3 Grondeigenschappen"/>
      <sheetName val="Funderingsdraagverm."/>
      <sheetName val="Kranen"/>
      <sheetName val="Schotten"/>
      <sheetName val="Blok gegevens"/>
    </sheetNames>
    <sheetDataSet>
      <sheetData sheetId="0"/>
      <sheetData sheetId="1" refreshError="1"/>
      <sheetData sheetId="2"/>
      <sheetData sheetId="3"/>
      <sheetData sheetId="4"/>
      <sheetData sheetId="5"/>
      <sheetData sheetId="6"/>
      <sheetData sheetId="7"/>
      <sheetData sheetId="8"/>
    </sheetDataSet>
  </externalBook>
</externalLink>
</file>

<file path=xl/queryTables/queryTable1.xml><?xml version="1.0" encoding="utf-8"?>
<queryTable xmlns="http://schemas.openxmlformats.org/spreadsheetml/2006/main" name="ExterneGegevens_1" headers="0" refreshOnLoad="1" connectionId="2" autoFormatId="16" applyNumberFormats="0" applyBorderFormats="0" applyFontFormats="0" applyPatternFormats="0" applyAlignmentFormats="0" applyWidthHeightFormats="0">
  <queryTableRefresh headersInLastRefresh="0" nextId="26">
    <queryTableFields count="25">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7"/>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 id="25" name="Column25" tableColumnId="25"/>
    </queryTableFields>
  </queryTableRefresh>
</queryTable>
</file>

<file path=xl/queryTables/queryTable2.xml><?xml version="1.0" encoding="utf-8"?>
<queryTable xmlns="http://schemas.openxmlformats.org/spreadsheetml/2006/main" name="ExterneGegevens_2" headers="0" refreshOnLoad="1" connectionId="3" autoFormatId="16" applyNumberFormats="0" applyBorderFormats="0" applyFontFormats="0" applyPatternFormats="0" applyAlignmentFormats="0" applyWidthHeightFormats="0">
  <queryTableRefresh headersInLastRefresh="0" nextId="6">
    <queryTableFields count="5">
      <queryTableField id="1" name="Column1" tableColumnId="1"/>
      <queryTableField id="2" name="Column2" tableColumnId="2"/>
      <queryTableField id="3" name="Column3" tableColumnId="3"/>
      <queryTableField id="4" name="Column4" tableColumnId="4"/>
      <queryTableField id="5" name="Column5" tableColumnId="5"/>
    </queryTableFields>
  </queryTableRefresh>
</queryTable>
</file>

<file path=xl/queryTables/queryTable3.xml><?xml version="1.0" encoding="utf-8"?>
<queryTable xmlns="http://schemas.openxmlformats.org/spreadsheetml/2006/main" name="ExterneGegevens_1" refreshOnLoad="1" connectionId="1" autoFormatId="16" applyNumberFormats="0" applyBorderFormats="0" applyFontFormats="0" applyPatternFormats="0" applyAlignmentFormats="0" applyWidthHeightFormats="0">
  <queryTableRefresh nextId="9">
    <queryTableFields count="8">
      <queryTableField id="1" name="Naam/type" tableColumnId="1"/>
      <queryTableField id="2" name="Naam" tableColumnId="2"/>
      <queryTableField id="3" name="gewicht" tableColumnId="3"/>
      <queryTableField id="4" name="Loc.X-as" tableColumnId="4"/>
      <queryTableField id="5" name="Loc.Y-as" tableColumnId="5"/>
      <queryTableField id="6" name="Wind //" tableColumnId="6"/>
      <queryTableField id="7" name="Wind ^ " tableColumnId="7"/>
      <queryTableField id="8" name="Column8" tableColumnId="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3" name="Kranen" displayName="Kranen" ref="A1:Y48" tableType="queryTable" headerRowCount="0" totalsRowShown="0">
  <tableColumns count="25">
    <tableColumn id="1" uniqueName="1" name="Kolom1" queryTableFieldId="1" dataDxfId="23"/>
    <tableColumn id="2" uniqueName="2" name="Kolom2" queryTableFieldId="2"/>
    <tableColumn id="3" uniqueName="3" name="Kolom3" queryTableFieldId="3"/>
    <tableColumn id="4" uniqueName="4" name="Kolom4" queryTableFieldId="4"/>
    <tableColumn id="5" uniqueName="5" name="Kolom5" queryTableFieldId="5"/>
    <tableColumn id="6" uniqueName="6" name="Kolom6" queryTableFieldId="6" dataDxfId="22"/>
    <tableColumn id="7" uniqueName="7" name="Kolom7" queryTableFieldId="7" dataDxfId="21"/>
    <tableColumn id="8" uniqueName="8" name="Kolom8" queryTableFieldId="8" dataDxfId="20"/>
    <tableColumn id="9" uniqueName="9" name="Kolom9" queryTableFieldId="9" dataDxfId="19"/>
    <tableColumn id="10" uniqueName="10" name="Kolom10" queryTableFieldId="10" dataDxfId="18"/>
    <tableColumn id="11" uniqueName="11" name="Kolom11" queryTableFieldId="11" dataDxfId="17"/>
    <tableColumn id="12" uniqueName="12" name="Kolom12" queryTableFieldId="12" dataDxfId="16"/>
    <tableColumn id="13" uniqueName="13" name="Kolom13" queryTableFieldId="13" dataDxfId="15"/>
    <tableColumn id="14" uniqueName="14" name="Kolom14" queryTableFieldId="14" dataDxfId="14"/>
    <tableColumn id="15" uniqueName="15" name="Kolom15" queryTableFieldId="15" dataDxfId="13"/>
    <tableColumn id="16" uniqueName="16" name="Kolom16" queryTableFieldId="16" dataDxfId="12"/>
    <tableColumn id="17" uniqueName="17" name="Kolom17" queryTableFieldId="17" dataDxfId="11"/>
    <tableColumn id="18" uniqueName="18" name="Kolom18" queryTableFieldId="18" dataDxfId="10"/>
    <tableColumn id="19" uniqueName="19" name="Kolom19" queryTableFieldId="19" dataDxfId="9"/>
    <tableColumn id="20" uniqueName="20" name="Kolom20" queryTableFieldId="20" dataDxfId="8"/>
    <tableColumn id="21" uniqueName="21" name="Kolom21" queryTableFieldId="21" dataDxfId="7"/>
    <tableColumn id="22" uniqueName="22" name="Kolom22" queryTableFieldId="22" dataDxfId="6"/>
    <tableColumn id="23" uniqueName="23" name="Kolom23" queryTableFieldId="23" dataDxfId="5"/>
    <tableColumn id="24" uniqueName="24" name="Column24" queryTableFieldId="24" dataDxfId="4"/>
    <tableColumn id="25" uniqueName="25" name="Column25" queryTableFieldId="25" dataDxfId="3"/>
  </tableColumns>
  <tableStyleInfo name="TableStyleMedium7" showFirstColumn="0" showLastColumn="0" showRowStripes="1" showColumnStripes="0"/>
</table>
</file>

<file path=xl/tables/table2.xml><?xml version="1.0" encoding="utf-8"?>
<table xmlns="http://schemas.openxmlformats.org/spreadsheetml/2006/main" id="1" name="Schotten" displayName="Schotten" ref="A1:E25" tableType="queryTable" headerRowCount="0" totalsRowShown="0">
  <tableColumns count="5">
    <tableColumn id="1" uniqueName="1" name="Column1" queryTableFieldId="1" dataDxfId="2"/>
    <tableColumn id="2" uniqueName="2" name="Column2" queryTableFieldId="2"/>
    <tableColumn id="3" uniqueName="3" name="Column3" queryTableFieldId="3"/>
    <tableColumn id="4" uniqueName="4" name="Column4" queryTableFieldId="4"/>
    <tableColumn id="5" uniqueName="5" name="Column5" queryTableFieldId="5"/>
  </tableColumns>
  <tableStyleInfo name="TableStyleMedium7" showFirstColumn="0" showLastColumn="0" showRowStripes="1" showColumnStripes="0"/>
</table>
</file>

<file path=xl/tables/table3.xml><?xml version="1.0" encoding="utf-8"?>
<table xmlns="http://schemas.openxmlformats.org/spreadsheetml/2006/main" id="2" name="Hamers_en_trilblokken" displayName="Hamers_en_trilblokken" ref="A1:H65" tableType="queryTable" totalsRowShown="0">
  <tableColumns count="8">
    <tableColumn id="1" uniqueName="1" name="Naam/type" queryTableFieldId="1"/>
    <tableColumn id="2" uniqueName="2" name="Naam" queryTableFieldId="2" dataDxfId="1"/>
    <tableColumn id="3" uniqueName="3" name="gewicht" queryTableFieldId="3"/>
    <tableColumn id="4" uniqueName="4" name="Loc.X-as" queryTableFieldId="4"/>
    <tableColumn id="5" uniqueName="5" name="Loc.Y-as" queryTableFieldId="5"/>
    <tableColumn id="6" uniqueName="6" name="Wind //" queryTableFieldId="6"/>
    <tableColumn id="7" uniqueName="7" name="Wind ^ " queryTableFieldId="7"/>
    <tableColumn id="8" uniqueName="8" name="Column8" queryTableFieldId="8" dataDxfId="0"/>
  </tableColumns>
  <tableStyleInfo name="TableStyleMedium7"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view="pageBreakPreview" zoomScaleNormal="100" zoomScaleSheetLayoutView="100" workbookViewId="0">
      <selection activeCell="E22" sqref="E22"/>
    </sheetView>
  </sheetViews>
  <sheetFormatPr defaultRowHeight="12.75" x14ac:dyDescent="0.2"/>
  <cols>
    <col min="1" max="1" width="19.28515625" bestFit="1" customWidth="1"/>
    <col min="2" max="2" width="13.140625" customWidth="1"/>
    <col min="3" max="3" width="7.5703125" bestFit="1" customWidth="1"/>
    <col min="4" max="4" width="8" customWidth="1"/>
    <col min="5" max="5" width="12.5703125" customWidth="1"/>
    <col min="6" max="6" width="10.5703125" customWidth="1"/>
    <col min="9" max="9" width="12.140625" customWidth="1"/>
    <col min="10" max="10" width="9.85546875" customWidth="1"/>
    <col min="11" max="11" width="10.42578125" customWidth="1"/>
    <col min="14" max="14" width="19.7109375" customWidth="1"/>
  </cols>
  <sheetData>
    <row r="1" spans="1:19" ht="13.5" thickBot="1" x14ac:dyDescent="0.25">
      <c r="A1" s="194" t="s">
        <v>283</v>
      </c>
      <c r="B1" s="411" t="s">
        <v>383</v>
      </c>
      <c r="C1" s="412"/>
      <c r="E1" t="str">
        <f>B1</f>
        <v>KH 300 PD 42m,      5:1 AO</v>
      </c>
      <c r="G1" s="415" t="s">
        <v>162</v>
      </c>
      <c r="H1" s="416"/>
      <c r="I1" s="118"/>
      <c r="N1" s="199" t="s">
        <v>281</v>
      </c>
      <c r="O1" s="142"/>
    </row>
    <row r="2" spans="1:19" x14ac:dyDescent="0.2">
      <c r="A2" s="217" t="s">
        <v>251</v>
      </c>
      <c r="B2" s="419" t="s">
        <v>238</v>
      </c>
      <c r="C2" s="420"/>
      <c r="G2" s="207" t="s">
        <v>163</v>
      </c>
      <c r="H2" s="417" t="s">
        <v>167</v>
      </c>
      <c r="I2" s="418"/>
      <c r="N2" s="183" t="s">
        <v>1</v>
      </c>
      <c r="O2" s="232">
        <f>(HLOOKUP(B1,Kranen!B1:BD40,2,FALSE))/1000</f>
        <v>4</v>
      </c>
      <c r="P2" s="118" t="s">
        <v>2</v>
      </c>
    </row>
    <row r="3" spans="1:19" x14ac:dyDescent="0.2">
      <c r="A3" s="113" t="s">
        <v>284</v>
      </c>
      <c r="B3" s="431" t="s">
        <v>287</v>
      </c>
      <c r="C3" s="432"/>
      <c r="G3" s="208" t="s">
        <v>164</v>
      </c>
      <c r="H3" s="417" t="s">
        <v>168</v>
      </c>
      <c r="I3" s="418"/>
      <c r="N3" s="177" t="s">
        <v>3</v>
      </c>
      <c r="O3" s="218">
        <f>(HLOOKUP(B1,Kranen!B1:BD40,3,FALSE))/1000</f>
        <v>4.25</v>
      </c>
      <c r="P3" s="114" t="s">
        <v>2</v>
      </c>
    </row>
    <row r="4" spans="1:19" ht="13.5" thickBot="1" x14ac:dyDescent="0.25">
      <c r="A4" s="195" t="s">
        <v>252</v>
      </c>
      <c r="B4" s="221">
        <v>15</v>
      </c>
      <c r="C4" s="114" t="s">
        <v>2</v>
      </c>
      <c r="G4" s="209" t="s">
        <v>165</v>
      </c>
      <c r="H4" s="417" t="s">
        <v>169</v>
      </c>
      <c r="I4" s="418"/>
      <c r="N4" s="179" t="s">
        <v>4</v>
      </c>
      <c r="O4" s="230">
        <f>(HLOOKUP(B1,Kranen!B1:BD40,4,FALSE))</f>
        <v>900</v>
      </c>
      <c r="P4" s="122" t="s">
        <v>5</v>
      </c>
      <c r="Q4" s="192"/>
    </row>
    <row r="5" spans="1:19" ht="13.5" thickBot="1" x14ac:dyDescent="0.25">
      <c r="A5" s="195" t="s">
        <v>279</v>
      </c>
      <c r="B5" s="221">
        <v>0.25</v>
      </c>
      <c r="C5" s="196" t="s">
        <v>2</v>
      </c>
      <c r="G5" s="210" t="s">
        <v>166</v>
      </c>
      <c r="H5" s="423" t="s">
        <v>170</v>
      </c>
      <c r="I5" s="424"/>
      <c r="N5" s="229" t="s">
        <v>293</v>
      </c>
      <c r="O5" s="231">
        <f>(HLOOKUP(B1,Kranen!B1:BD50,41,FALSE))</f>
        <v>800</v>
      </c>
      <c r="P5" s="228" t="s">
        <v>5</v>
      </c>
    </row>
    <row r="6" spans="1:19" ht="13.5" thickBot="1" x14ac:dyDescent="0.25">
      <c r="A6" s="197" t="s">
        <v>280</v>
      </c>
      <c r="B6" s="222">
        <v>2250</v>
      </c>
      <c r="C6" s="116" t="s">
        <v>30</v>
      </c>
      <c r="G6" s="216"/>
      <c r="H6" s="215"/>
      <c r="I6" s="215"/>
      <c r="N6" s="227" t="s">
        <v>6</v>
      </c>
    </row>
    <row r="7" spans="1:19" ht="39" thickBot="1" x14ac:dyDescent="0.25">
      <c r="A7" s="169"/>
      <c r="B7" s="153"/>
      <c r="C7" s="142"/>
      <c r="N7" s="176" t="s">
        <v>0</v>
      </c>
      <c r="O7" s="175" t="s">
        <v>141</v>
      </c>
      <c r="P7" s="128" t="s">
        <v>142</v>
      </c>
      <c r="Q7" s="128" t="s">
        <v>143</v>
      </c>
      <c r="R7" s="128" t="s">
        <v>144</v>
      </c>
      <c r="S7" s="129" t="s">
        <v>145</v>
      </c>
    </row>
    <row r="8" spans="1:19" ht="13.5" thickBot="1" x14ac:dyDescent="0.25">
      <c r="A8" s="199" t="s">
        <v>21</v>
      </c>
      <c r="B8" s="153"/>
      <c r="C8" s="142"/>
      <c r="D8" s="126" t="s">
        <v>23</v>
      </c>
      <c r="E8" s="139"/>
      <c r="G8" s="214" t="s">
        <v>23</v>
      </c>
      <c r="H8" s="414" t="s">
        <v>24</v>
      </c>
      <c r="I8" s="414"/>
      <c r="J8" s="414"/>
      <c r="K8" s="414"/>
      <c r="L8" s="414"/>
      <c r="N8" s="177" t="s">
        <v>7</v>
      </c>
      <c r="O8" s="237">
        <f>(HLOOKUP(B1,Kranen!B1:BD50,11,FALSE))</f>
        <v>0</v>
      </c>
      <c r="P8" s="219" t="str">
        <f>(HLOOKUP(B1,Kranen!B1:BD50,12,FALSE))</f>
        <v>-</v>
      </c>
      <c r="Q8" s="219" t="str">
        <f>(HLOOKUP(B1,Kranen!B1:BD50,13,FALSE))</f>
        <v>-</v>
      </c>
      <c r="R8" s="219">
        <f>(HLOOKUP(B1,Kranen!B1:BD50,14,FALSE))</f>
        <v>5</v>
      </c>
      <c r="S8" s="220">
        <f>(HLOOKUP(B1,Kranen!B1:BD50,15,FALSE))</f>
        <v>7.5</v>
      </c>
    </row>
    <row r="9" spans="1:19" ht="13.5" thickBot="1" x14ac:dyDescent="0.25">
      <c r="A9" s="425" t="s">
        <v>496</v>
      </c>
      <c r="B9" s="426"/>
      <c r="C9" s="427"/>
      <c r="D9" s="127">
        <v>1.25</v>
      </c>
      <c r="E9" s="123" t="s">
        <v>192</v>
      </c>
      <c r="G9" s="214" t="s">
        <v>22</v>
      </c>
      <c r="H9" s="414" t="s">
        <v>25</v>
      </c>
      <c r="I9" s="414"/>
      <c r="J9" s="414"/>
      <c r="K9" s="414"/>
      <c r="L9" s="414"/>
      <c r="M9" s="192"/>
      <c r="N9" s="177" t="s">
        <v>9</v>
      </c>
      <c r="O9" s="237">
        <f>(HLOOKUP(B1,Kranen!B1:BD50,16,FALSE))</f>
        <v>711</v>
      </c>
      <c r="P9" s="236">
        <f>(HLOOKUP(B1,Kranen!B1:BD50,17,FALSE))</f>
        <v>-3.61</v>
      </c>
      <c r="Q9" s="236">
        <f>(HLOOKUP(B1,Kranen!B1:BD50,18,FALSE))</f>
        <v>1.6299999999999997</v>
      </c>
      <c r="R9" s="219" t="str">
        <f>(HLOOKUP(B1,Kranen!B1:BD50,19,FALSE))</f>
        <v>-</v>
      </c>
      <c r="S9" s="220">
        <f>(HLOOKUP(B1,Kranen!B1:BD50,20,FALSE))</f>
        <v>12.3</v>
      </c>
    </row>
    <row r="10" spans="1:19" ht="13.5" thickBot="1" x14ac:dyDescent="0.25">
      <c r="A10" s="169" t="s">
        <v>26</v>
      </c>
      <c r="B10" s="142"/>
      <c r="C10" s="200" t="s">
        <v>253</v>
      </c>
      <c r="D10" s="421" t="s">
        <v>276</v>
      </c>
      <c r="E10" s="422"/>
      <c r="N10" s="177" t="s">
        <v>10</v>
      </c>
      <c r="O10" s="218">
        <f>(HLOOKUP(B1,Kranen!B1:BD50,21,FALSE))</f>
        <v>91.5</v>
      </c>
      <c r="P10" s="219">
        <f>(HLOOKUP(B1,Kranen!B1:BD50,22,FALSE))</f>
        <v>-7.5</v>
      </c>
      <c r="Q10" s="219">
        <f>(HLOOKUP(B1,Kranen!B1:BD50,23,FALSE))</f>
        <v>4.2</v>
      </c>
      <c r="R10" s="219">
        <f>(HLOOKUP(B1,Kranen!B1:BD50,24,FALSE))</f>
        <v>12.6</v>
      </c>
      <c r="S10" s="220">
        <f>(HLOOKUP(B1,Kranen!B1:BD50,25,FALSE))</f>
        <v>2.4</v>
      </c>
    </row>
    <row r="11" spans="1:19" ht="13.5" thickBot="1" x14ac:dyDescent="0.25">
      <c r="A11" s="162"/>
      <c r="B11" s="139"/>
      <c r="N11" s="177" t="s">
        <v>11</v>
      </c>
      <c r="O11" s="218">
        <f>(HLOOKUP(B1,Kranen!B1:BD50,26,FALSE))</f>
        <v>57</v>
      </c>
      <c r="P11" s="219">
        <f>(HLOOKUP(B1,Kranen!B1:BD50,27,FALSE))</f>
        <v>-0.2</v>
      </c>
      <c r="Q11" s="219">
        <f>(HLOOKUP(B1,Kranen!B1:BD50,28,FALSE))</f>
        <v>14.7</v>
      </c>
      <c r="R11" s="236">
        <f>(HLOOKUP(B1,Kranen!B1:BD50,29,FALSE))</f>
        <v>12</v>
      </c>
      <c r="S11" s="220">
        <f>(HLOOKUP(B1,Kranen!B1:BD50,30,FALSE))</f>
        <v>12.5</v>
      </c>
    </row>
    <row r="12" spans="1:19" ht="13.5" thickBot="1" x14ac:dyDescent="0.25">
      <c r="A12" s="193" t="s">
        <v>31</v>
      </c>
      <c r="B12" s="139"/>
      <c r="D12" s="214" t="s">
        <v>34</v>
      </c>
      <c r="E12" s="413" t="s">
        <v>35</v>
      </c>
      <c r="F12" s="414"/>
      <c r="G12" s="414"/>
      <c r="H12" s="414"/>
      <c r="I12" s="414"/>
      <c r="J12" s="414"/>
      <c r="K12" s="414"/>
      <c r="N12" s="177" t="s">
        <v>12</v>
      </c>
      <c r="O12" s="218">
        <f>(HLOOKUP(B1,Kranen!B1:BD50,31,FALSE))</f>
        <v>14.6</v>
      </c>
      <c r="P12" s="219">
        <f>(HLOOKUP(B1,Kranen!B1:BD50,32,FALSE))</f>
        <v>4.9000000000000004</v>
      </c>
      <c r="Q12" s="219">
        <f>(HLOOKUP(B1,Kranen!B1:BD50,33,FALSE))</f>
        <v>2.4</v>
      </c>
      <c r="R12" s="219" t="str">
        <f>(HLOOKUP(B1,Kranen!B1:BD50,34,FALSE))</f>
        <v>-</v>
      </c>
      <c r="S12" s="220">
        <f>(HLOOKUP(B1,Kranen!B1:BD50,35,FALSE))</f>
        <v>1.5</v>
      </c>
    </row>
    <row r="13" spans="1:19" ht="13.5" thickBot="1" x14ac:dyDescent="0.25">
      <c r="A13" s="163" t="s">
        <v>32</v>
      </c>
      <c r="B13" s="125" t="s">
        <v>33</v>
      </c>
      <c r="D13" s="214" t="s">
        <v>33</v>
      </c>
      <c r="E13" s="413" t="s">
        <v>36</v>
      </c>
      <c r="F13" s="414"/>
      <c r="G13" s="414"/>
      <c r="H13" s="414"/>
      <c r="I13" s="414"/>
      <c r="J13" s="414"/>
      <c r="K13" s="414"/>
      <c r="N13" s="177" t="s">
        <v>13</v>
      </c>
      <c r="O13" s="218">
        <f>(HLOOKUP(B1,Kranen!B1:BD50,36,FALSE))</f>
        <v>128</v>
      </c>
      <c r="P13" s="237">
        <f>(HLOOKUP(B1,Kranen!B1:BD50,37,FALSE))</f>
        <v>6.6</v>
      </c>
      <c r="Q13" s="219">
        <f>(HLOOKUP(B1,Kranen!B1:BD50,38,FALSE))</f>
        <v>19.5</v>
      </c>
      <c r="R13" s="219">
        <f>(HLOOKUP(B1,Kranen!B1:BD50,39,FALSE))</f>
        <v>23</v>
      </c>
      <c r="S13" s="220">
        <f>(HLOOKUP(B1,Kranen!B1:BD50,40,FALSE))</f>
        <v>33.6</v>
      </c>
    </row>
    <row r="14" spans="1:19" ht="13.5" thickBot="1" x14ac:dyDescent="0.25">
      <c r="A14" s="152"/>
      <c r="B14" s="138"/>
      <c r="D14" s="214" t="s">
        <v>37</v>
      </c>
      <c r="E14" s="414" t="s">
        <v>38</v>
      </c>
      <c r="F14" s="414"/>
      <c r="G14" s="414"/>
      <c r="H14" s="414"/>
      <c r="I14" s="414"/>
      <c r="J14" s="414"/>
      <c r="K14" s="414"/>
      <c r="N14" s="177" t="s">
        <v>14</v>
      </c>
      <c r="O14" s="218">
        <f>(HLOOKUP(B1,Kranen!B1:BD50,42,FALSE))</f>
        <v>20</v>
      </c>
      <c r="P14" s="219">
        <f>(HLOOKUP(B1,Kranen!B1:BD50,43,FALSE))</f>
        <v>3.5</v>
      </c>
      <c r="Q14" s="219">
        <f>(HLOOKUP(B1,Kranen!B1:BD50,44,FALSE))</f>
        <v>39.799999999999997</v>
      </c>
      <c r="R14" s="219">
        <f>(HLOOKUP(B1,Kranen!B1:BD50,45,FALSE))</f>
        <v>2.5</v>
      </c>
      <c r="S14" s="220">
        <f>(HLOOKUP(B1,Kranen!B1:BD50,46,FALSE))</f>
        <v>4.4000000000000004</v>
      </c>
    </row>
    <row r="15" spans="1:19" ht="13.5" thickBot="1" x14ac:dyDescent="0.25">
      <c r="A15" s="199" t="s">
        <v>152</v>
      </c>
      <c r="B15" s="142"/>
      <c r="N15" s="178" t="s">
        <v>15</v>
      </c>
      <c r="O15" s="186">
        <f>(VLOOKUP(B2,'Blok gegevens'!B3:C50,2,FALSE))/100</f>
        <v>114</v>
      </c>
      <c r="P15" s="184">
        <f>(VLOOKUP(B2,'Blok gegevens'!B3:D50,3,FALSE))/1000+P13+(O5/2000)</f>
        <v>7.6</v>
      </c>
      <c r="Q15" s="235">
        <f>VLOOKUP(B2,'Blok gegevens'!B3:E50,4,FALSE)/1000+B4</f>
        <v>18.3</v>
      </c>
      <c r="R15" s="184">
        <f>VLOOKUP(B2,'Blok gegevens'!B3:F50,5,FALSE)</f>
        <v>3.4</v>
      </c>
      <c r="S15" s="185">
        <f>VLOOKUP(B2,'Blok gegevens'!B3:G50,6,FALSE)</f>
        <v>6.75</v>
      </c>
    </row>
    <row r="16" spans="1:19" ht="13.5" thickBot="1" x14ac:dyDescent="0.25">
      <c r="A16" s="120" t="s">
        <v>153</v>
      </c>
      <c r="B16" s="224" t="s">
        <v>157</v>
      </c>
      <c r="C16" s="225"/>
      <c r="D16" s="188" t="s">
        <v>154</v>
      </c>
      <c r="E16" s="211"/>
      <c r="F16" s="226" t="s">
        <v>155</v>
      </c>
      <c r="G16" s="226"/>
      <c r="H16" s="226"/>
      <c r="I16" s="226"/>
      <c r="J16" s="226"/>
      <c r="K16" s="226"/>
      <c r="L16" s="226"/>
      <c r="N16" s="238" t="s">
        <v>16</v>
      </c>
      <c r="O16" s="239">
        <f>(B6/100*0.05)+50</f>
        <v>51.125</v>
      </c>
      <c r="P16" s="240" t="s">
        <v>8</v>
      </c>
      <c r="Q16" s="241">
        <f>Q14</f>
        <v>39.799999999999997</v>
      </c>
      <c r="R16" s="241" t="s">
        <v>8</v>
      </c>
      <c r="S16" s="242" t="s">
        <v>8</v>
      </c>
    </row>
    <row r="17" spans="1:19" ht="13.5" thickBot="1" x14ac:dyDescent="0.25">
      <c r="A17" s="152"/>
      <c r="B17" s="140"/>
      <c r="C17" s="138"/>
      <c r="D17" s="188" t="s">
        <v>157</v>
      </c>
      <c r="E17" s="211"/>
      <c r="F17" s="226" t="s">
        <v>156</v>
      </c>
      <c r="G17" s="226"/>
      <c r="H17" s="226"/>
      <c r="I17" s="226"/>
      <c r="J17" s="226"/>
      <c r="K17" s="226"/>
      <c r="L17" s="226"/>
      <c r="N17" s="202" t="s">
        <v>282</v>
      </c>
      <c r="O17" s="142"/>
    </row>
    <row r="18" spans="1:19" x14ac:dyDescent="0.2">
      <c r="D18" s="212" t="s">
        <v>182</v>
      </c>
      <c r="E18" s="213"/>
      <c r="F18" s="226" t="s">
        <v>158</v>
      </c>
      <c r="G18" s="226"/>
      <c r="H18" s="226"/>
      <c r="I18" s="226"/>
      <c r="J18" s="226"/>
      <c r="K18" s="226"/>
      <c r="L18" s="226"/>
      <c r="N18" s="121" t="s">
        <v>27</v>
      </c>
      <c r="O18" s="190">
        <f>(VLOOKUP(D10,Schotten!A2:C30,2,FALSE))</f>
        <v>12</v>
      </c>
      <c r="P18" s="118" t="s">
        <v>2</v>
      </c>
    </row>
    <row r="19" spans="1:19" x14ac:dyDescent="0.2">
      <c r="A19" s="113" t="s">
        <v>159</v>
      </c>
      <c r="B19" s="198">
        <v>-1.5</v>
      </c>
      <c r="C19" s="196" t="s">
        <v>161</v>
      </c>
      <c r="N19" s="113" t="s">
        <v>28</v>
      </c>
      <c r="O19" s="184">
        <f>(VLOOKUP(D10,Schotten!A2:C30,3,FALSE))</f>
        <v>1.24</v>
      </c>
      <c r="P19" s="114" t="s">
        <v>2</v>
      </c>
    </row>
    <row r="20" spans="1:19" ht="13.5" thickBot="1" x14ac:dyDescent="0.25">
      <c r="A20" s="115" t="s">
        <v>160</v>
      </c>
      <c r="B20" s="201">
        <v>0.5</v>
      </c>
      <c r="C20" s="122" t="s">
        <v>161</v>
      </c>
      <c r="N20" s="189" t="s">
        <v>278</v>
      </c>
      <c r="O20" s="184">
        <f>(VLOOKUP(D10,Schotten!A2:D30,4,FALSE))</f>
        <v>0.3</v>
      </c>
      <c r="P20" s="114" t="s">
        <v>2</v>
      </c>
    </row>
    <row r="21" spans="1:19" ht="13.5" thickBot="1" x14ac:dyDescent="0.25">
      <c r="N21" s="115" t="s">
        <v>29</v>
      </c>
      <c r="O21" s="187">
        <f>(VLOOKUP(D10,Schotten!A2:E30,5,FALSE))</f>
        <v>5700</v>
      </c>
      <c r="P21" s="122" t="s">
        <v>30</v>
      </c>
    </row>
    <row r="22" spans="1:19" ht="13.5" thickBot="1" x14ac:dyDescent="0.25">
      <c r="E22" s="260"/>
      <c r="N22" s="193" t="s">
        <v>17</v>
      </c>
    </row>
    <row r="23" spans="1:19" x14ac:dyDescent="0.2">
      <c r="N23" s="181" t="s">
        <v>18</v>
      </c>
      <c r="O23" s="180">
        <f>'Tabel C1 belastingen'!E43</f>
        <v>65.120967741935488</v>
      </c>
      <c r="P23" s="117" t="s">
        <v>8</v>
      </c>
      <c r="Q23" s="117" t="s">
        <v>8</v>
      </c>
      <c r="R23" s="117" t="s">
        <v>8</v>
      </c>
      <c r="S23" s="234">
        <f>O20*O3</f>
        <v>1.2749999999999999</v>
      </c>
    </row>
    <row r="24" spans="1:19" x14ac:dyDescent="0.2">
      <c r="N24" s="178" t="s">
        <v>19</v>
      </c>
      <c r="O24" s="191">
        <f>B6*10/1000</f>
        <v>22.5</v>
      </c>
      <c r="P24" s="184">
        <f>P15</f>
        <v>7.6</v>
      </c>
      <c r="Q24" s="184">
        <f>B4/2</f>
        <v>7.5</v>
      </c>
      <c r="R24" s="184">
        <f>B4*B5</f>
        <v>3.75</v>
      </c>
      <c r="S24" s="185">
        <f>B4*B5</f>
        <v>3.75</v>
      </c>
    </row>
    <row r="25" spans="1:19" x14ac:dyDescent="0.2">
      <c r="N25" s="177" t="s">
        <v>20</v>
      </c>
      <c r="O25" s="218">
        <f>IF(B3="Damwandplank(en)",0,(IF(B3="Boorbuis",0,1)))</f>
        <v>1</v>
      </c>
      <c r="P25" s="184">
        <f>P15</f>
        <v>7.6</v>
      </c>
      <c r="Q25" s="184">
        <f>B4</f>
        <v>15</v>
      </c>
      <c r="R25" s="219">
        <f>IF(B3="Damwandplank(en)",0,(IF(B3="Boorbuis",0,0.5)))</f>
        <v>0.5</v>
      </c>
      <c r="S25" s="220">
        <f>IF(B3="Damwandplank(en)",0,(IF(B3="Boorbuis",0,1)))</f>
        <v>1</v>
      </c>
    </row>
    <row r="26" spans="1:19" ht="13.5" thickBot="1" x14ac:dyDescent="0.25">
      <c r="N26" s="182" t="s">
        <v>288</v>
      </c>
      <c r="O26" s="223">
        <v>0</v>
      </c>
      <c r="P26" s="187">
        <f>P15</f>
        <v>7.6</v>
      </c>
      <c r="Q26" s="187">
        <f>P15</f>
        <v>7.6</v>
      </c>
      <c r="R26" s="119" t="s">
        <v>8</v>
      </c>
      <c r="S26" s="116" t="s">
        <v>8</v>
      </c>
    </row>
    <row r="27" spans="1:19" ht="15.75" thickBot="1" x14ac:dyDescent="0.3">
      <c r="N27" s="202" t="s">
        <v>295</v>
      </c>
      <c r="O27" s="428" t="str">
        <f>IF('Tabel C1 belastingen'!N41&gt;('Kraan en situatie gegevens'!O2/2),"Controleer gegevens, kraan instabiel!","Juist")</f>
        <v>Juist</v>
      </c>
      <c r="P27" s="429"/>
      <c r="Q27" s="429"/>
      <c r="R27" s="430"/>
    </row>
  </sheetData>
  <mergeCells count="16">
    <mergeCell ref="O27:R27"/>
    <mergeCell ref="E13:K13"/>
    <mergeCell ref="E14:K14"/>
    <mergeCell ref="H9:L9"/>
    <mergeCell ref="B3:C3"/>
    <mergeCell ref="B1:C1"/>
    <mergeCell ref="E12:K12"/>
    <mergeCell ref="G1:H1"/>
    <mergeCell ref="H3:I3"/>
    <mergeCell ref="H4:I4"/>
    <mergeCell ref="B2:C2"/>
    <mergeCell ref="D10:E10"/>
    <mergeCell ref="H2:I2"/>
    <mergeCell ref="H8:L8"/>
    <mergeCell ref="H5:I5"/>
    <mergeCell ref="A9:C9"/>
  </mergeCells>
  <dataValidations count="6">
    <dataValidation type="list" allowBlank="1" showInputMessage="1" showErrorMessage="1" sqref="D8">
      <formula1>$G$8:$G$9</formula1>
    </dataValidation>
    <dataValidation type="list" allowBlank="1" showInputMessage="1" showErrorMessage="1" sqref="B16">
      <formula1>$D$16:$D$18</formula1>
    </dataValidation>
    <dataValidation type="list" allowBlank="1" showInputMessage="1" showErrorMessage="1" sqref="B2">
      <formula1>Bloknaam</formula1>
    </dataValidation>
    <dataValidation type="list" allowBlank="1" showInputMessage="1" showErrorMessage="1" sqref="D10:E10">
      <formula1>Schottennaam</formula1>
    </dataValidation>
    <dataValidation type="list" allowBlank="1" showInputMessage="1" showErrorMessage="1" sqref="B1">
      <formula1>Kraannamen</formula1>
    </dataValidation>
    <dataValidation type="list" allowBlank="1" showInputMessage="1" showErrorMessage="1" sqref="B13">
      <formula1>$D$12:$D$14</formula1>
    </dataValidation>
  </dataValidations>
  <pageMargins left="0.75" right="0.75" top="1" bottom="1" header="0.5" footer="0.5"/>
  <pageSetup paperSize="9" scale="6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8C5ECE4E-579F-4582-825A-8DBC22825074}">
            <xm:f>'\\gebrvanthek.local\DfsRoot\Users\wilmar.vanmoorsel\Documents\Oude versies\[Begaanbaarheid bouwterreinen Beta_TEST versie.xlsx]Tabel C1 belastingen'!#REF!&gt;(O2/2)</xm:f>
            <x14:dxf>
              <fill>
                <patternFill>
                  <bgColor rgb="FFFF0000"/>
                </patternFill>
              </fill>
            </x14:dxf>
          </x14:cfRule>
          <xm:sqref>O27:R27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'Blok gegevens'!$K$2:$K$7</xm:f>
          </x14:formula1>
          <xm:sqref>B3:C3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sqref="A1:E25"/>
    </sheetView>
  </sheetViews>
  <sheetFormatPr defaultRowHeight="12.75" x14ac:dyDescent="0.2"/>
  <cols>
    <col min="1" max="1" width="23.7109375" bestFit="1" customWidth="1"/>
    <col min="2" max="2" width="6.5703125" bestFit="1" customWidth="1"/>
    <col min="3" max="3" width="7.42578125" bestFit="1" customWidth="1"/>
    <col min="4" max="4" width="6.85546875" bestFit="1" customWidth="1"/>
    <col min="5" max="5" width="12.28515625" bestFit="1" customWidth="1"/>
  </cols>
  <sheetData>
    <row r="1" spans="1:5" x14ac:dyDescent="0.2">
      <c r="A1" s="174" t="s">
        <v>85</v>
      </c>
      <c r="B1" t="s">
        <v>27</v>
      </c>
      <c r="C1" t="s">
        <v>28</v>
      </c>
      <c r="D1" t="s">
        <v>369</v>
      </c>
      <c r="E1" t="s">
        <v>370</v>
      </c>
    </row>
    <row r="2" spans="1:5" x14ac:dyDescent="0.2">
      <c r="A2" s="174" t="s">
        <v>254</v>
      </c>
      <c r="B2">
        <v>5</v>
      </c>
      <c r="C2">
        <v>1</v>
      </c>
      <c r="D2">
        <v>0.15</v>
      </c>
      <c r="E2">
        <v>900</v>
      </c>
    </row>
    <row r="3" spans="1:5" x14ac:dyDescent="0.2">
      <c r="A3" s="174" t="s">
        <v>255</v>
      </c>
      <c r="B3">
        <v>5</v>
      </c>
      <c r="C3">
        <v>1</v>
      </c>
      <c r="D3">
        <v>0.2</v>
      </c>
      <c r="E3">
        <v>1200</v>
      </c>
    </row>
    <row r="4" spans="1:5" x14ac:dyDescent="0.2">
      <c r="A4" s="174" t="s">
        <v>256</v>
      </c>
      <c r="B4">
        <v>5</v>
      </c>
      <c r="C4">
        <v>1</v>
      </c>
      <c r="D4">
        <v>0.25</v>
      </c>
      <c r="E4">
        <v>1500</v>
      </c>
    </row>
    <row r="5" spans="1:5" x14ac:dyDescent="0.2">
      <c r="A5" s="174" t="s">
        <v>257</v>
      </c>
      <c r="B5">
        <v>5</v>
      </c>
      <c r="C5">
        <v>1</v>
      </c>
      <c r="D5">
        <v>0.3</v>
      </c>
      <c r="E5">
        <v>1800</v>
      </c>
    </row>
    <row r="6" spans="1:5" x14ac:dyDescent="0.2">
      <c r="A6" s="174" t="s">
        <v>258</v>
      </c>
      <c r="B6">
        <v>6</v>
      </c>
      <c r="C6">
        <v>1</v>
      </c>
      <c r="D6">
        <v>0.15</v>
      </c>
      <c r="E6">
        <v>1080</v>
      </c>
    </row>
    <row r="7" spans="1:5" x14ac:dyDescent="0.2">
      <c r="A7" s="174" t="s">
        <v>259</v>
      </c>
      <c r="B7">
        <v>6</v>
      </c>
      <c r="C7">
        <v>1</v>
      </c>
      <c r="D7">
        <v>0.2</v>
      </c>
      <c r="E7">
        <v>1440</v>
      </c>
    </row>
    <row r="8" spans="1:5" x14ac:dyDescent="0.2">
      <c r="A8" s="174" t="s">
        <v>260</v>
      </c>
      <c r="B8">
        <v>7</v>
      </c>
      <c r="C8">
        <v>1</v>
      </c>
      <c r="D8">
        <v>0.2</v>
      </c>
      <c r="E8">
        <v>1680</v>
      </c>
    </row>
    <row r="9" spans="1:5" x14ac:dyDescent="0.2">
      <c r="A9" s="174" t="s">
        <v>261</v>
      </c>
      <c r="B9">
        <v>8</v>
      </c>
      <c r="C9">
        <v>1</v>
      </c>
      <c r="D9">
        <v>0.2</v>
      </c>
      <c r="E9">
        <v>1920</v>
      </c>
    </row>
    <row r="10" spans="1:5" x14ac:dyDescent="0.2">
      <c r="A10" s="174" t="s">
        <v>262</v>
      </c>
      <c r="B10">
        <v>8</v>
      </c>
      <c r="C10">
        <v>1</v>
      </c>
      <c r="D10">
        <v>0.25</v>
      </c>
      <c r="E10">
        <v>3000</v>
      </c>
    </row>
    <row r="11" spans="1:5" x14ac:dyDescent="0.2">
      <c r="A11" s="174" t="s">
        <v>263</v>
      </c>
      <c r="B11">
        <v>8</v>
      </c>
      <c r="C11">
        <v>1</v>
      </c>
      <c r="D11">
        <v>0.25</v>
      </c>
      <c r="E11">
        <v>2400</v>
      </c>
    </row>
    <row r="12" spans="1:5" x14ac:dyDescent="0.2">
      <c r="A12" s="174" t="s">
        <v>264</v>
      </c>
      <c r="B12">
        <v>8</v>
      </c>
      <c r="C12">
        <v>1</v>
      </c>
      <c r="D12">
        <v>0.3</v>
      </c>
      <c r="E12">
        <v>3600</v>
      </c>
    </row>
    <row r="13" spans="1:5" x14ac:dyDescent="0.2">
      <c r="A13" s="174" t="s">
        <v>265</v>
      </c>
      <c r="B13">
        <v>9</v>
      </c>
      <c r="C13">
        <v>1</v>
      </c>
      <c r="D13">
        <v>0.25</v>
      </c>
      <c r="E13">
        <v>2470</v>
      </c>
    </row>
    <row r="14" spans="1:5" x14ac:dyDescent="0.2">
      <c r="A14" s="174" t="s">
        <v>266</v>
      </c>
      <c r="B14">
        <v>10</v>
      </c>
      <c r="C14">
        <v>1</v>
      </c>
      <c r="D14">
        <v>0.25</v>
      </c>
      <c r="E14">
        <v>3000</v>
      </c>
    </row>
    <row r="15" spans="1:5" x14ac:dyDescent="0.2">
      <c r="A15" s="174" t="s">
        <v>267</v>
      </c>
      <c r="B15">
        <v>10</v>
      </c>
      <c r="C15">
        <v>1</v>
      </c>
      <c r="D15">
        <v>0.3</v>
      </c>
      <c r="E15">
        <v>5000</v>
      </c>
    </row>
    <row r="16" spans="1:5" x14ac:dyDescent="0.2">
      <c r="A16" s="174" t="s">
        <v>268</v>
      </c>
      <c r="B16">
        <v>10</v>
      </c>
      <c r="C16">
        <v>1</v>
      </c>
      <c r="D16">
        <v>0.3</v>
      </c>
      <c r="E16">
        <v>4800</v>
      </c>
    </row>
    <row r="17" spans="1:5" x14ac:dyDescent="0.2">
      <c r="A17" s="174" t="s">
        <v>269</v>
      </c>
      <c r="B17">
        <v>11</v>
      </c>
      <c r="C17">
        <v>1</v>
      </c>
      <c r="D17">
        <v>0.3</v>
      </c>
      <c r="E17">
        <v>4700</v>
      </c>
    </row>
    <row r="18" spans="1:5" x14ac:dyDescent="0.2">
      <c r="A18" s="174" t="s">
        <v>270</v>
      </c>
      <c r="B18">
        <v>11</v>
      </c>
      <c r="C18">
        <v>1.25</v>
      </c>
      <c r="D18">
        <v>0.3</v>
      </c>
      <c r="E18">
        <v>5830</v>
      </c>
    </row>
    <row r="19" spans="1:5" x14ac:dyDescent="0.2">
      <c r="A19" s="174" t="s">
        <v>271</v>
      </c>
      <c r="B19">
        <v>12</v>
      </c>
      <c r="C19">
        <v>1.25</v>
      </c>
      <c r="D19">
        <v>0.3</v>
      </c>
      <c r="E19">
        <v>5600</v>
      </c>
    </row>
    <row r="20" spans="1:5" x14ac:dyDescent="0.2">
      <c r="A20" s="174" t="s">
        <v>272</v>
      </c>
      <c r="B20">
        <v>12</v>
      </c>
      <c r="C20">
        <v>1.25</v>
      </c>
      <c r="D20">
        <v>0.3</v>
      </c>
      <c r="E20">
        <v>6100</v>
      </c>
    </row>
    <row r="21" spans="1:5" x14ac:dyDescent="0.2">
      <c r="A21" s="174" t="s">
        <v>273</v>
      </c>
      <c r="B21">
        <v>8</v>
      </c>
      <c r="C21">
        <v>2.37</v>
      </c>
      <c r="D21">
        <v>0.18</v>
      </c>
      <c r="E21">
        <v>4000</v>
      </c>
    </row>
    <row r="22" spans="1:5" x14ac:dyDescent="0.2">
      <c r="A22" s="174" t="s">
        <v>274</v>
      </c>
      <c r="B22">
        <v>10</v>
      </c>
      <c r="C22">
        <v>2.37</v>
      </c>
      <c r="D22">
        <v>0.18</v>
      </c>
      <c r="E22">
        <v>5500</v>
      </c>
    </row>
    <row r="23" spans="1:5" x14ac:dyDescent="0.2">
      <c r="A23" s="174" t="s">
        <v>275</v>
      </c>
      <c r="B23">
        <v>10</v>
      </c>
      <c r="C23">
        <v>1.24</v>
      </c>
      <c r="D23">
        <v>0.3</v>
      </c>
      <c r="E23">
        <v>5300</v>
      </c>
    </row>
    <row r="24" spans="1:5" x14ac:dyDescent="0.2">
      <c r="A24" s="174" t="s">
        <v>276</v>
      </c>
      <c r="B24">
        <v>12</v>
      </c>
      <c r="C24">
        <v>1.24</v>
      </c>
      <c r="D24">
        <v>0.3</v>
      </c>
      <c r="E24">
        <v>5700</v>
      </c>
    </row>
    <row r="25" spans="1:5" x14ac:dyDescent="0.2">
      <c r="A25" s="174" t="s">
        <v>277</v>
      </c>
      <c r="B25">
        <v>14</v>
      </c>
      <c r="C25">
        <v>1</v>
      </c>
      <c r="D25">
        <v>0.3</v>
      </c>
      <c r="E25">
        <v>6600</v>
      </c>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opLeftCell="A22" workbookViewId="0">
      <selection activeCell="Q49" sqref="Q49"/>
    </sheetView>
  </sheetViews>
  <sheetFormatPr defaultRowHeight="12.75" x14ac:dyDescent="0.2"/>
  <cols>
    <col min="1" max="1" width="20.7109375" bestFit="1" customWidth="1"/>
    <col min="2" max="2" width="16.7109375" bestFit="1" customWidth="1"/>
    <col min="3" max="3" width="8.140625" bestFit="1" customWidth="1"/>
    <col min="4" max="4" width="8.7109375" bestFit="1" customWidth="1"/>
    <col min="5" max="5" width="8.5703125" bestFit="1" customWidth="1"/>
    <col min="6" max="6" width="7.42578125" bestFit="1" customWidth="1"/>
    <col min="7" max="7" width="8" bestFit="1" customWidth="1"/>
    <col min="8" max="8" width="9" bestFit="1" customWidth="1"/>
    <col min="11" max="11" width="16.85546875" bestFit="1" customWidth="1"/>
  </cols>
  <sheetData>
    <row r="1" spans="1:11" x14ac:dyDescent="0.2">
      <c r="A1" t="s">
        <v>197</v>
      </c>
      <c r="B1" t="s">
        <v>198</v>
      </c>
      <c r="C1" t="s">
        <v>199</v>
      </c>
      <c r="D1" t="s">
        <v>200</v>
      </c>
      <c r="E1" t="s">
        <v>201</v>
      </c>
      <c r="F1" t="s">
        <v>202</v>
      </c>
      <c r="G1" t="s">
        <v>203</v>
      </c>
      <c r="H1" t="s">
        <v>423</v>
      </c>
      <c r="K1" t="s">
        <v>284</v>
      </c>
    </row>
    <row r="2" spans="1:11" x14ac:dyDescent="0.2">
      <c r="A2" t="s">
        <v>204</v>
      </c>
      <c r="B2" s="174"/>
      <c r="H2" s="174"/>
      <c r="K2" t="s">
        <v>285</v>
      </c>
    </row>
    <row r="3" spans="1:11" x14ac:dyDescent="0.2">
      <c r="A3">
        <v>5200</v>
      </c>
      <c r="B3" s="174" t="s">
        <v>205</v>
      </c>
      <c r="C3">
        <v>7000</v>
      </c>
      <c r="D3">
        <v>490</v>
      </c>
      <c r="E3">
        <v>1220</v>
      </c>
      <c r="F3">
        <v>5.65</v>
      </c>
      <c r="G3">
        <v>2.35</v>
      </c>
      <c r="H3" s="174"/>
      <c r="K3" t="s">
        <v>286</v>
      </c>
    </row>
    <row r="4" spans="1:11" x14ac:dyDescent="0.2">
      <c r="A4" t="s">
        <v>206</v>
      </c>
      <c r="B4" s="174" t="s">
        <v>207</v>
      </c>
      <c r="C4">
        <v>9000</v>
      </c>
      <c r="D4">
        <v>525</v>
      </c>
      <c r="E4">
        <v>1500</v>
      </c>
      <c r="F4">
        <v>5.3</v>
      </c>
      <c r="G4">
        <v>3.3</v>
      </c>
      <c r="H4" s="174"/>
      <c r="K4" t="s">
        <v>287</v>
      </c>
    </row>
    <row r="5" spans="1:11" x14ac:dyDescent="0.2">
      <c r="A5" t="s">
        <v>208</v>
      </c>
      <c r="B5" s="174" t="s">
        <v>209</v>
      </c>
      <c r="C5">
        <v>14000</v>
      </c>
      <c r="D5">
        <v>650</v>
      </c>
      <c r="E5">
        <v>1750</v>
      </c>
      <c r="F5">
        <v>7.65</v>
      </c>
      <c r="G5">
        <v>4.55</v>
      </c>
      <c r="H5" s="174"/>
    </row>
    <row r="6" spans="1:11" x14ac:dyDescent="0.2">
      <c r="A6">
        <v>5230</v>
      </c>
      <c r="B6" s="174" t="s">
        <v>210</v>
      </c>
      <c r="C6">
        <v>4590</v>
      </c>
      <c r="D6">
        <v>580</v>
      </c>
      <c r="E6">
        <v>1050</v>
      </c>
      <c r="F6">
        <v>1.9</v>
      </c>
      <c r="G6">
        <v>2.4500000000000002</v>
      </c>
      <c r="H6" s="174"/>
    </row>
    <row r="7" spans="1:11" x14ac:dyDescent="0.2">
      <c r="B7" s="174" t="s">
        <v>424</v>
      </c>
      <c r="H7" s="174"/>
    </row>
    <row r="8" spans="1:11" x14ac:dyDescent="0.2">
      <c r="B8" s="174" t="s">
        <v>425</v>
      </c>
      <c r="H8" s="174"/>
    </row>
    <row r="9" spans="1:11" x14ac:dyDescent="0.2">
      <c r="A9" t="s">
        <v>211</v>
      </c>
      <c r="B9" s="174"/>
      <c r="H9" s="174"/>
    </row>
    <row r="10" spans="1:11" x14ac:dyDescent="0.2">
      <c r="A10">
        <v>5006</v>
      </c>
      <c r="B10" s="174" t="s">
        <v>212</v>
      </c>
      <c r="C10">
        <v>1380</v>
      </c>
      <c r="D10">
        <v>558</v>
      </c>
      <c r="E10">
        <v>694</v>
      </c>
      <c r="F10">
        <v>0.35</v>
      </c>
      <c r="G10">
        <v>1.1499999999999999</v>
      </c>
      <c r="H10" s="174"/>
    </row>
    <row r="11" spans="1:11" x14ac:dyDescent="0.2">
      <c r="A11">
        <v>5007</v>
      </c>
      <c r="B11" s="174" t="s">
        <v>213</v>
      </c>
      <c r="C11">
        <v>2065</v>
      </c>
      <c r="D11">
        <v>765</v>
      </c>
      <c r="E11">
        <v>1000</v>
      </c>
      <c r="F11">
        <v>0.4</v>
      </c>
      <c r="G11">
        <v>1.5</v>
      </c>
      <c r="H11" s="174"/>
    </row>
    <row r="12" spans="1:11" x14ac:dyDescent="0.2">
      <c r="A12">
        <v>5009</v>
      </c>
      <c r="B12" s="174" t="s">
        <v>214</v>
      </c>
      <c r="C12">
        <v>2000</v>
      </c>
      <c r="D12">
        <v>680</v>
      </c>
      <c r="E12">
        <v>770</v>
      </c>
      <c r="F12">
        <v>0.45</v>
      </c>
      <c r="G12">
        <v>1.85</v>
      </c>
      <c r="H12" s="174"/>
    </row>
    <row r="13" spans="1:11" x14ac:dyDescent="0.2">
      <c r="A13">
        <v>5018</v>
      </c>
      <c r="B13" s="174" t="s">
        <v>215</v>
      </c>
      <c r="C13">
        <v>2200</v>
      </c>
      <c r="D13">
        <v>595</v>
      </c>
      <c r="E13">
        <v>960</v>
      </c>
      <c r="F13">
        <v>0.45</v>
      </c>
      <c r="G13">
        <v>2.2999999999999998</v>
      </c>
      <c r="H13" s="174"/>
    </row>
    <row r="14" spans="1:11" x14ac:dyDescent="0.2">
      <c r="A14">
        <v>5021</v>
      </c>
      <c r="B14" s="174" t="s">
        <v>216</v>
      </c>
      <c r="C14">
        <v>3550</v>
      </c>
      <c r="D14">
        <v>590</v>
      </c>
      <c r="E14">
        <v>990</v>
      </c>
      <c r="F14">
        <v>0.65</v>
      </c>
      <c r="G14">
        <v>2</v>
      </c>
      <c r="H14" s="174"/>
    </row>
    <row r="15" spans="1:11" x14ac:dyDescent="0.2">
      <c r="A15">
        <v>5024</v>
      </c>
      <c r="B15" s="174" t="s">
        <v>217</v>
      </c>
      <c r="C15">
        <v>6000</v>
      </c>
      <c r="D15">
        <v>1190</v>
      </c>
      <c r="E15">
        <v>1233</v>
      </c>
      <c r="F15">
        <v>0.8</v>
      </c>
      <c r="G15">
        <v>4.78</v>
      </c>
      <c r="H15" s="174"/>
    </row>
    <row r="16" spans="1:11" x14ac:dyDescent="0.2">
      <c r="A16">
        <v>5027</v>
      </c>
      <c r="B16" s="174" t="s">
        <v>218</v>
      </c>
      <c r="C16">
        <v>6350</v>
      </c>
      <c r="D16">
        <v>1200</v>
      </c>
      <c r="E16">
        <v>1260</v>
      </c>
      <c r="F16">
        <v>0.95</v>
      </c>
      <c r="G16">
        <v>4.8499999999999996</v>
      </c>
      <c r="H16" s="174"/>
    </row>
    <row r="17" spans="1:8" x14ac:dyDescent="0.2">
      <c r="A17">
        <v>5033</v>
      </c>
      <c r="B17" s="174" t="s">
        <v>219</v>
      </c>
      <c r="C17">
        <v>9250</v>
      </c>
      <c r="D17">
        <v>1333</v>
      </c>
      <c r="E17">
        <v>1605</v>
      </c>
      <c r="F17">
        <v>1.25</v>
      </c>
      <c r="G17">
        <v>6.2</v>
      </c>
      <c r="H17" s="174"/>
    </row>
    <row r="18" spans="1:8" x14ac:dyDescent="0.2">
      <c r="A18">
        <v>5042</v>
      </c>
      <c r="B18" s="174" t="s">
        <v>220</v>
      </c>
      <c r="C18">
        <v>3090</v>
      </c>
      <c r="D18">
        <v>780</v>
      </c>
      <c r="E18">
        <v>1045</v>
      </c>
      <c r="F18">
        <v>0.55000000000000004</v>
      </c>
      <c r="G18">
        <v>1.7</v>
      </c>
      <c r="H18" s="174"/>
    </row>
    <row r="19" spans="1:8" x14ac:dyDescent="0.2">
      <c r="A19">
        <v>5048</v>
      </c>
      <c r="B19" s="174" t="s">
        <v>221</v>
      </c>
      <c r="C19">
        <v>4800</v>
      </c>
      <c r="D19">
        <v>660</v>
      </c>
      <c r="E19">
        <v>995</v>
      </c>
      <c r="F19">
        <v>0.6</v>
      </c>
      <c r="G19">
        <v>1.85</v>
      </c>
      <c r="H19" s="174"/>
    </row>
    <row r="20" spans="1:8" x14ac:dyDescent="0.2">
      <c r="A20">
        <v>5051</v>
      </c>
      <c r="B20" s="174" t="s">
        <v>222</v>
      </c>
      <c r="C20">
        <v>4800</v>
      </c>
      <c r="D20">
        <v>909</v>
      </c>
      <c r="E20">
        <v>1315</v>
      </c>
      <c r="F20">
        <v>1</v>
      </c>
      <c r="G20">
        <v>3.9</v>
      </c>
      <c r="H20" s="174"/>
    </row>
    <row r="21" spans="1:8" x14ac:dyDescent="0.2">
      <c r="A21">
        <v>5054</v>
      </c>
      <c r="B21" s="174" t="s">
        <v>223</v>
      </c>
      <c r="C21">
        <v>5480</v>
      </c>
      <c r="D21">
        <v>927</v>
      </c>
      <c r="E21">
        <v>1382</v>
      </c>
      <c r="F21">
        <v>1</v>
      </c>
      <c r="G21">
        <v>3.8</v>
      </c>
      <c r="H21" s="174"/>
    </row>
    <row r="22" spans="1:8" x14ac:dyDescent="0.2">
      <c r="A22">
        <v>5055</v>
      </c>
      <c r="B22" s="174" t="s">
        <v>224</v>
      </c>
      <c r="C22">
        <v>3850</v>
      </c>
      <c r="D22">
        <v>791</v>
      </c>
      <c r="E22">
        <v>1318</v>
      </c>
      <c r="F22">
        <v>1</v>
      </c>
      <c r="G22">
        <v>3.55</v>
      </c>
      <c r="H22" s="174"/>
    </row>
    <row r="23" spans="1:8" x14ac:dyDescent="0.2">
      <c r="A23">
        <v>5056</v>
      </c>
      <c r="B23" s="174" t="s">
        <v>225</v>
      </c>
      <c r="C23">
        <v>6900</v>
      </c>
      <c r="D23">
        <v>1088</v>
      </c>
      <c r="E23">
        <v>1680</v>
      </c>
      <c r="F23">
        <v>1.75</v>
      </c>
      <c r="G23">
        <v>5.4</v>
      </c>
      <c r="H23" s="174"/>
    </row>
    <row r="24" spans="1:8" x14ac:dyDescent="0.2">
      <c r="A24">
        <v>5057</v>
      </c>
      <c r="B24" s="174" t="s">
        <v>226</v>
      </c>
      <c r="C24">
        <v>9300</v>
      </c>
      <c r="D24">
        <v>1324</v>
      </c>
      <c r="E24">
        <v>1688</v>
      </c>
      <c r="F24">
        <v>1.3</v>
      </c>
      <c r="G24">
        <v>6.2</v>
      </c>
      <c r="H24" s="174"/>
    </row>
    <row r="25" spans="1:8" x14ac:dyDescent="0.2">
      <c r="A25">
        <v>5058</v>
      </c>
      <c r="B25" s="174" t="s">
        <v>227</v>
      </c>
      <c r="C25">
        <v>5790</v>
      </c>
      <c r="D25">
        <v>761</v>
      </c>
      <c r="E25">
        <v>1499</v>
      </c>
      <c r="F25">
        <v>1.1000000000000001</v>
      </c>
      <c r="G25">
        <v>3.35</v>
      </c>
      <c r="H25" s="174"/>
    </row>
    <row r="26" spans="1:8" x14ac:dyDescent="0.2">
      <c r="A26">
        <v>5059</v>
      </c>
      <c r="B26" s="174" t="s">
        <v>228</v>
      </c>
      <c r="C26">
        <v>3400</v>
      </c>
      <c r="D26">
        <v>810</v>
      </c>
      <c r="E26">
        <v>1200</v>
      </c>
      <c r="F26">
        <v>0.85</v>
      </c>
      <c r="G26">
        <v>2.95</v>
      </c>
      <c r="H26" s="174"/>
    </row>
    <row r="27" spans="1:8" x14ac:dyDescent="0.2">
      <c r="A27">
        <v>5067</v>
      </c>
      <c r="B27" s="174" t="s">
        <v>229</v>
      </c>
      <c r="C27">
        <v>6400</v>
      </c>
      <c r="D27">
        <v>1197</v>
      </c>
      <c r="E27">
        <v>1646</v>
      </c>
      <c r="F27">
        <v>1.2</v>
      </c>
      <c r="G27">
        <v>5.6</v>
      </c>
      <c r="H27" s="174"/>
    </row>
    <row r="28" spans="1:8" x14ac:dyDescent="0.2">
      <c r="A28">
        <v>5069</v>
      </c>
      <c r="B28" s="174" t="s">
        <v>230</v>
      </c>
      <c r="C28">
        <v>10300</v>
      </c>
      <c r="D28">
        <v>1324</v>
      </c>
      <c r="E28">
        <v>1731</v>
      </c>
      <c r="F28">
        <v>1.75</v>
      </c>
      <c r="G28">
        <v>8.5</v>
      </c>
      <c r="H28" s="174"/>
    </row>
    <row r="29" spans="1:8" x14ac:dyDescent="0.2">
      <c r="A29">
        <v>5072</v>
      </c>
      <c r="B29" s="174" t="s">
        <v>231</v>
      </c>
      <c r="C29">
        <v>14870</v>
      </c>
      <c r="D29">
        <v>1385</v>
      </c>
      <c r="E29">
        <v>1992</v>
      </c>
      <c r="F29">
        <v>2.3199999999999998</v>
      </c>
      <c r="G29">
        <v>8.0500000000000007</v>
      </c>
      <c r="H29" s="174"/>
    </row>
    <row r="30" spans="1:8" x14ac:dyDescent="0.2">
      <c r="A30">
        <v>5075</v>
      </c>
      <c r="B30" s="174" t="s">
        <v>232</v>
      </c>
      <c r="C30">
        <v>16670</v>
      </c>
      <c r="D30">
        <v>1442</v>
      </c>
      <c r="E30">
        <v>1888</v>
      </c>
      <c r="F30">
        <v>1.8</v>
      </c>
      <c r="G30">
        <v>8.1999999999999993</v>
      </c>
      <c r="H30" s="174"/>
    </row>
    <row r="31" spans="1:8" x14ac:dyDescent="0.2">
      <c r="A31" t="s">
        <v>233</v>
      </c>
      <c r="B31" s="174"/>
      <c r="H31" s="174"/>
    </row>
    <row r="32" spans="1:8" x14ac:dyDescent="0.2">
      <c r="A32">
        <v>4006</v>
      </c>
      <c r="B32" s="174" t="s">
        <v>234</v>
      </c>
      <c r="C32">
        <v>8000</v>
      </c>
      <c r="D32">
        <v>600</v>
      </c>
      <c r="E32">
        <v>2643</v>
      </c>
      <c r="F32">
        <v>2.85</v>
      </c>
      <c r="G32">
        <v>6.3</v>
      </c>
      <c r="H32" s="174"/>
    </row>
    <row r="33" spans="1:8" x14ac:dyDescent="0.2">
      <c r="A33">
        <v>4009</v>
      </c>
      <c r="B33" s="174" t="s">
        <v>235</v>
      </c>
      <c r="C33">
        <v>13100</v>
      </c>
      <c r="D33">
        <v>700</v>
      </c>
      <c r="E33">
        <v>3940</v>
      </c>
      <c r="F33">
        <v>2.5</v>
      </c>
      <c r="G33">
        <v>5.55</v>
      </c>
      <c r="H33" s="174"/>
    </row>
    <row r="34" spans="1:8" x14ac:dyDescent="0.2">
      <c r="A34">
        <v>4015</v>
      </c>
      <c r="B34" s="174" t="s">
        <v>236</v>
      </c>
      <c r="C34">
        <v>7800</v>
      </c>
      <c r="D34">
        <v>500</v>
      </c>
      <c r="E34">
        <v>2933</v>
      </c>
      <c r="F34">
        <v>2.85</v>
      </c>
      <c r="G34">
        <v>5.6</v>
      </c>
      <c r="H34" s="174"/>
    </row>
    <row r="35" spans="1:8" x14ac:dyDescent="0.2">
      <c r="A35">
        <v>4018</v>
      </c>
      <c r="B35" s="174" t="s">
        <v>237</v>
      </c>
      <c r="C35">
        <v>9300</v>
      </c>
      <c r="D35">
        <v>600</v>
      </c>
      <c r="E35">
        <v>2840</v>
      </c>
      <c r="F35">
        <v>2.95</v>
      </c>
      <c r="G35">
        <v>5.8</v>
      </c>
      <c r="H35" s="174"/>
    </row>
    <row r="36" spans="1:8" x14ac:dyDescent="0.2">
      <c r="A36">
        <v>4021</v>
      </c>
      <c r="B36" s="174" t="s">
        <v>238</v>
      </c>
      <c r="C36">
        <v>11400</v>
      </c>
      <c r="D36">
        <v>600</v>
      </c>
      <c r="E36">
        <v>3300</v>
      </c>
      <c r="F36">
        <v>3.4</v>
      </c>
      <c r="G36">
        <v>6.75</v>
      </c>
      <c r="H36" s="174"/>
    </row>
    <row r="37" spans="1:8" x14ac:dyDescent="0.2">
      <c r="A37" t="s">
        <v>239</v>
      </c>
      <c r="B37" s="174" t="s">
        <v>240</v>
      </c>
      <c r="C37">
        <v>13400</v>
      </c>
      <c r="D37">
        <v>600</v>
      </c>
      <c r="E37">
        <v>3300</v>
      </c>
      <c r="F37">
        <v>3.4</v>
      </c>
      <c r="G37">
        <v>6.75</v>
      </c>
      <c r="H37" s="174"/>
    </row>
    <row r="38" spans="1:8" x14ac:dyDescent="0.2">
      <c r="A38">
        <v>4027</v>
      </c>
      <c r="B38" s="174" t="s">
        <v>241</v>
      </c>
      <c r="C38">
        <v>24100</v>
      </c>
      <c r="D38">
        <v>800</v>
      </c>
      <c r="E38">
        <v>3490</v>
      </c>
      <c r="F38">
        <v>4.95</v>
      </c>
      <c r="G38">
        <v>9.9</v>
      </c>
      <c r="H38" s="174"/>
    </row>
    <row r="39" spans="1:8" x14ac:dyDescent="0.2">
      <c r="A39" t="s">
        <v>242</v>
      </c>
      <c r="B39" s="174"/>
      <c r="H39" s="174"/>
    </row>
    <row r="40" spans="1:8" x14ac:dyDescent="0.2">
      <c r="A40">
        <v>4053</v>
      </c>
      <c r="B40" s="174" t="s">
        <v>243</v>
      </c>
      <c r="C40">
        <v>7250</v>
      </c>
      <c r="D40">
        <v>400</v>
      </c>
      <c r="E40">
        <v>3970</v>
      </c>
      <c r="F40">
        <v>2.4</v>
      </c>
      <c r="G40">
        <v>5.0999999999999996</v>
      </c>
      <c r="H40" s="174"/>
    </row>
    <row r="41" spans="1:8" x14ac:dyDescent="0.2">
      <c r="A41">
        <v>4062</v>
      </c>
      <c r="B41" s="174" t="s">
        <v>244</v>
      </c>
      <c r="C41">
        <v>10000</v>
      </c>
      <c r="D41">
        <v>500</v>
      </c>
      <c r="E41">
        <v>2633</v>
      </c>
      <c r="F41">
        <v>2.35</v>
      </c>
      <c r="G41">
        <v>4.25</v>
      </c>
      <c r="H41" s="174"/>
    </row>
    <row r="42" spans="1:8" x14ac:dyDescent="0.2">
      <c r="A42">
        <v>4065</v>
      </c>
      <c r="B42" s="174" t="s">
        <v>245</v>
      </c>
      <c r="C42">
        <v>13400</v>
      </c>
      <c r="D42">
        <v>600</v>
      </c>
      <c r="E42">
        <v>2705</v>
      </c>
      <c r="F42">
        <v>2.1</v>
      </c>
      <c r="G42">
        <v>5</v>
      </c>
      <c r="H42" s="174"/>
    </row>
    <row r="43" spans="1:8" x14ac:dyDescent="0.2">
      <c r="A43">
        <v>4068</v>
      </c>
      <c r="B43" s="174" t="s">
        <v>246</v>
      </c>
      <c r="C43">
        <v>14200</v>
      </c>
      <c r="D43">
        <v>500</v>
      </c>
      <c r="E43">
        <v>2955</v>
      </c>
      <c r="F43">
        <v>2.4</v>
      </c>
      <c r="G43">
        <v>5.45</v>
      </c>
      <c r="H43" s="174"/>
    </row>
    <row r="44" spans="1:8" x14ac:dyDescent="0.2">
      <c r="A44" t="s">
        <v>247</v>
      </c>
      <c r="B44" s="174" t="s">
        <v>248</v>
      </c>
      <c r="C44">
        <v>19800</v>
      </c>
      <c r="D44">
        <v>660</v>
      </c>
      <c r="E44">
        <v>3600</v>
      </c>
      <c r="F44">
        <v>2.9</v>
      </c>
      <c r="G44">
        <v>8</v>
      </c>
      <c r="H44" s="174"/>
    </row>
    <row r="45" spans="1:8" x14ac:dyDescent="0.2">
      <c r="A45" t="s">
        <v>249</v>
      </c>
      <c r="B45" s="174" t="s">
        <v>250</v>
      </c>
      <c r="C45">
        <v>22000</v>
      </c>
      <c r="D45">
        <v>660</v>
      </c>
      <c r="E45">
        <v>3679</v>
      </c>
      <c r="F45">
        <v>2.95</v>
      </c>
      <c r="G45">
        <v>8.1999999999999993</v>
      </c>
      <c r="H45" s="174"/>
    </row>
    <row r="46" spans="1:8" x14ac:dyDescent="0.2">
      <c r="A46" t="s">
        <v>371</v>
      </c>
      <c r="B46" s="174"/>
      <c r="H46" s="174"/>
    </row>
    <row r="47" spans="1:8" x14ac:dyDescent="0.2">
      <c r="A47">
        <v>3549</v>
      </c>
      <c r="B47" s="174" t="s">
        <v>372</v>
      </c>
      <c r="C47">
        <v>465</v>
      </c>
      <c r="D47">
        <v>600</v>
      </c>
      <c r="E47">
        <v>700</v>
      </c>
      <c r="F47">
        <v>0.7</v>
      </c>
      <c r="G47">
        <v>0.7</v>
      </c>
      <c r="H47" s="174"/>
    </row>
    <row r="48" spans="1:8" x14ac:dyDescent="0.2">
      <c r="A48" t="s">
        <v>373</v>
      </c>
      <c r="B48" s="174" t="s">
        <v>374</v>
      </c>
      <c r="C48">
        <v>3400</v>
      </c>
      <c r="D48">
        <v>640</v>
      </c>
      <c r="E48">
        <v>750</v>
      </c>
      <c r="F48">
        <v>0.7</v>
      </c>
      <c r="G48">
        <v>0.7</v>
      </c>
      <c r="H48" s="174"/>
    </row>
    <row r="49" spans="1:8" x14ac:dyDescent="0.2">
      <c r="A49" t="s">
        <v>375</v>
      </c>
      <c r="B49" s="174" t="s">
        <v>376</v>
      </c>
      <c r="C49">
        <v>5000</v>
      </c>
      <c r="D49">
        <v>630</v>
      </c>
      <c r="E49">
        <v>950</v>
      </c>
      <c r="F49">
        <v>2</v>
      </c>
      <c r="G49">
        <v>2</v>
      </c>
      <c r="H49" s="174"/>
    </row>
    <row r="50" spans="1:8" x14ac:dyDescent="0.2">
      <c r="A50">
        <v>3550</v>
      </c>
      <c r="B50" s="174" t="s">
        <v>377</v>
      </c>
      <c r="C50">
        <v>8500</v>
      </c>
      <c r="D50">
        <v>600</v>
      </c>
      <c r="E50">
        <v>1110</v>
      </c>
      <c r="F50">
        <v>2.5</v>
      </c>
      <c r="G50">
        <v>2.5</v>
      </c>
      <c r="H50" s="174"/>
    </row>
    <row r="51" spans="1:8" x14ac:dyDescent="0.2">
      <c r="A51" t="s">
        <v>378</v>
      </c>
      <c r="B51" s="174" t="s">
        <v>379</v>
      </c>
      <c r="C51">
        <v>7500</v>
      </c>
      <c r="D51">
        <v>1200</v>
      </c>
      <c r="E51">
        <v>1550</v>
      </c>
      <c r="F51">
        <v>6</v>
      </c>
      <c r="G51">
        <v>6</v>
      </c>
      <c r="H51" s="174"/>
    </row>
    <row r="52" spans="1:8" x14ac:dyDescent="0.2">
      <c r="A52" t="s">
        <v>380</v>
      </c>
      <c r="B52" s="174" t="s">
        <v>381</v>
      </c>
      <c r="C52">
        <v>8000</v>
      </c>
      <c r="D52">
        <v>600</v>
      </c>
      <c r="E52">
        <v>1000</v>
      </c>
      <c r="F52">
        <v>2.5</v>
      </c>
      <c r="G52">
        <v>2.5</v>
      </c>
      <c r="H52" s="174"/>
    </row>
    <row r="53" spans="1:8" x14ac:dyDescent="0.2">
      <c r="B53" s="174"/>
      <c r="H53" s="174"/>
    </row>
    <row r="54" spans="1:8" x14ac:dyDescent="0.2">
      <c r="B54" s="174"/>
      <c r="H54" s="174"/>
    </row>
    <row r="55" spans="1:8" x14ac:dyDescent="0.2">
      <c r="B55" s="174"/>
      <c r="H55" s="174"/>
    </row>
    <row r="56" spans="1:8" x14ac:dyDescent="0.2">
      <c r="B56" s="174"/>
      <c r="H56" s="174"/>
    </row>
    <row r="57" spans="1:8" x14ac:dyDescent="0.2">
      <c r="B57" s="174"/>
      <c r="H57" s="174"/>
    </row>
    <row r="58" spans="1:8" x14ac:dyDescent="0.2">
      <c r="B58" s="174"/>
      <c r="H58" s="174"/>
    </row>
    <row r="59" spans="1:8" x14ac:dyDescent="0.2">
      <c r="B59" s="174"/>
      <c r="H59" s="174"/>
    </row>
    <row r="60" spans="1:8" x14ac:dyDescent="0.2">
      <c r="B60" s="174"/>
      <c r="H60" s="174"/>
    </row>
    <row r="61" spans="1:8" x14ac:dyDescent="0.2">
      <c r="B61" s="174"/>
      <c r="H61" s="174"/>
    </row>
    <row r="62" spans="1:8" x14ac:dyDescent="0.2">
      <c r="B62" s="174"/>
      <c r="H62" s="174"/>
    </row>
    <row r="63" spans="1:8" x14ac:dyDescent="0.2">
      <c r="B63" s="174"/>
      <c r="H63" s="174"/>
    </row>
    <row r="64" spans="1:8" x14ac:dyDescent="0.2">
      <c r="B64" s="174"/>
      <c r="H64" s="174"/>
    </row>
    <row r="65" spans="2:8" x14ac:dyDescent="0.2">
      <c r="B65" s="174"/>
      <c r="H65" s="174"/>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8"/>
  <sheetViews>
    <sheetView view="pageBreakPreview" zoomScaleNormal="100" zoomScaleSheetLayoutView="100" workbookViewId="0">
      <selection activeCell="R32" sqref="R32"/>
    </sheetView>
  </sheetViews>
  <sheetFormatPr defaultRowHeight="12.75" x14ac:dyDescent="0.2"/>
  <cols>
    <col min="1" max="1" width="14.85546875" bestFit="1" customWidth="1"/>
    <col min="2" max="2" width="9.140625" style="1"/>
    <col min="3" max="3" width="15.85546875" style="1" bestFit="1" customWidth="1"/>
    <col min="4" max="4" width="9.140625" style="1"/>
    <col min="5" max="5" width="9.5703125" style="1" customWidth="1"/>
    <col min="6" max="9" width="9.140625" style="2"/>
    <col min="10" max="11" width="9.7109375" style="1" customWidth="1"/>
    <col min="12" max="12" width="10.140625" customWidth="1"/>
    <col min="13" max="13" width="10.7109375" customWidth="1"/>
    <col min="16" max="16" width="2" customWidth="1"/>
    <col min="17" max="17" width="1.42578125" customWidth="1"/>
    <col min="18" max="18" width="6.5703125" bestFit="1" customWidth="1"/>
    <col min="19" max="20" width="5.140625" bestFit="1" customWidth="1"/>
    <col min="21" max="21" width="7.7109375" bestFit="1" customWidth="1"/>
    <col min="22" max="22" width="9" bestFit="1" customWidth="1"/>
    <col min="23" max="24" width="8.5703125" bestFit="1" customWidth="1"/>
    <col min="26" max="26" width="8.7109375" bestFit="1" customWidth="1"/>
    <col min="27" max="27" width="6.5703125" bestFit="1" customWidth="1"/>
    <col min="28" max="28" width="6.140625" bestFit="1" customWidth="1"/>
    <col min="29" max="29" width="9" bestFit="1" customWidth="1"/>
    <col min="30" max="30" width="9.28515625" bestFit="1" customWidth="1"/>
    <col min="31" max="31" width="8.85546875" bestFit="1" customWidth="1"/>
    <col min="32" max="32" width="8.28515625" bestFit="1" customWidth="1"/>
    <col min="33" max="33" width="7.85546875" bestFit="1" customWidth="1"/>
    <col min="34" max="34" width="8.85546875" bestFit="1" customWidth="1"/>
    <col min="35" max="35" width="8.42578125" bestFit="1" customWidth="1"/>
    <col min="36" max="36" width="9.5703125" bestFit="1" customWidth="1"/>
    <col min="38" max="38" width="6.42578125" bestFit="1" customWidth="1"/>
    <col min="39" max="39" width="6" bestFit="1" customWidth="1"/>
    <col min="40" max="40" width="9.140625" bestFit="1" customWidth="1"/>
    <col min="41" max="41" width="8.7109375" bestFit="1" customWidth="1"/>
    <col min="47" max="47" width="7.5703125" bestFit="1" customWidth="1"/>
    <col min="48" max="48" width="8" bestFit="1" customWidth="1"/>
  </cols>
  <sheetData>
    <row r="1" spans="1:15" x14ac:dyDescent="0.2">
      <c r="A1" s="203" t="s">
        <v>39</v>
      </c>
      <c r="B1" s="204"/>
      <c r="C1" s="204"/>
      <c r="D1" s="204"/>
      <c r="E1" s="204"/>
    </row>
    <row r="2" spans="1:15" x14ac:dyDescent="0.2">
      <c r="A2" s="80" t="s">
        <v>40</v>
      </c>
      <c r="B2" s="204">
        <v>0.25</v>
      </c>
      <c r="C2" s="205" t="s">
        <v>41</v>
      </c>
      <c r="D2" s="204"/>
      <c r="E2" s="204"/>
    </row>
    <row r="3" spans="1:15" x14ac:dyDescent="0.2">
      <c r="A3" s="80" t="s">
        <v>42</v>
      </c>
      <c r="B3" s="204">
        <v>70</v>
      </c>
      <c r="C3" s="205" t="s">
        <v>43</v>
      </c>
      <c r="D3" s="206">
        <f>COS(B3*PI()/180)</f>
        <v>0.34202014332566882</v>
      </c>
      <c r="E3" s="206">
        <f>SIN(B3*PI()/180)</f>
        <v>0.93969262078590832</v>
      </c>
    </row>
    <row r="5" spans="1:15" ht="13.5" thickBot="1" x14ac:dyDescent="0.25">
      <c r="A5" s="77" t="s">
        <v>147</v>
      </c>
    </row>
    <row r="6" spans="1:15" x14ac:dyDescent="0.2">
      <c r="A6" s="3" t="s">
        <v>44</v>
      </c>
      <c r="B6" s="4">
        <v>2250</v>
      </c>
      <c r="C6" s="4" t="s">
        <v>45</v>
      </c>
      <c r="D6" s="4"/>
      <c r="E6" s="4"/>
      <c r="F6" s="5"/>
      <c r="G6" s="5"/>
      <c r="H6" s="5"/>
      <c r="I6" s="5"/>
      <c r="J6" s="4"/>
      <c r="K6" s="4"/>
      <c r="L6" s="6"/>
      <c r="M6" s="6"/>
      <c r="N6" s="6"/>
      <c r="O6" s="7"/>
    </row>
    <row r="7" spans="1:15" ht="13.5" thickBot="1" x14ac:dyDescent="0.25">
      <c r="A7" s="8"/>
      <c r="B7" s="9" t="s">
        <v>46</v>
      </c>
      <c r="C7" s="9" t="s">
        <v>47</v>
      </c>
      <c r="D7" s="9"/>
      <c r="E7" s="9"/>
      <c r="F7" s="10"/>
      <c r="G7" s="10"/>
      <c r="H7" s="10"/>
      <c r="I7" s="10"/>
      <c r="J7" s="9"/>
      <c r="K7" s="9"/>
      <c r="L7" s="11"/>
      <c r="M7" s="11"/>
      <c r="N7" s="12" t="s">
        <v>48</v>
      </c>
      <c r="O7" s="13" t="s">
        <v>49</v>
      </c>
    </row>
    <row r="8" spans="1:15" ht="15.75" x14ac:dyDescent="0.3">
      <c r="A8" s="8"/>
      <c r="B8" s="9"/>
      <c r="C8" s="9" t="s">
        <v>50</v>
      </c>
      <c r="D8" s="9" t="s">
        <v>51</v>
      </c>
      <c r="E8" s="14" t="s">
        <v>52</v>
      </c>
      <c r="F8" s="15" t="s">
        <v>53</v>
      </c>
      <c r="G8" s="10" t="s">
        <v>54</v>
      </c>
      <c r="H8" s="15" t="s">
        <v>55</v>
      </c>
      <c r="I8" s="15" t="s">
        <v>56</v>
      </c>
      <c r="J8" s="16" t="s">
        <v>57</v>
      </c>
      <c r="K8" s="17" t="s">
        <v>58</v>
      </c>
      <c r="L8" s="18" t="s">
        <v>59</v>
      </c>
      <c r="M8" s="18" t="s">
        <v>60</v>
      </c>
      <c r="N8" s="18" t="s">
        <v>61</v>
      </c>
      <c r="O8" s="19" t="s">
        <v>62</v>
      </c>
    </row>
    <row r="9" spans="1:15" ht="16.5" thickBot="1" x14ac:dyDescent="0.35">
      <c r="A9" s="20"/>
      <c r="B9" s="21"/>
      <c r="C9" s="21" t="s">
        <v>63</v>
      </c>
      <c r="D9" s="21" t="s">
        <v>63</v>
      </c>
      <c r="E9" s="21" t="s">
        <v>64</v>
      </c>
      <c r="F9" s="22" t="s">
        <v>64</v>
      </c>
      <c r="G9" s="22"/>
      <c r="H9" s="23" t="s">
        <v>65</v>
      </c>
      <c r="I9" s="23" t="s">
        <v>2</v>
      </c>
      <c r="J9" s="24" t="s">
        <v>63</v>
      </c>
      <c r="K9" s="25" t="s">
        <v>63</v>
      </c>
      <c r="L9" s="26" t="s">
        <v>63</v>
      </c>
      <c r="M9" s="26" t="s">
        <v>66</v>
      </c>
      <c r="N9" s="26" t="s">
        <v>66</v>
      </c>
      <c r="O9" s="27" t="s">
        <v>66</v>
      </c>
    </row>
    <row r="10" spans="1:15" x14ac:dyDescent="0.2">
      <c r="A10" s="28" t="s">
        <v>67</v>
      </c>
      <c r="B10" s="29" t="s">
        <v>68</v>
      </c>
      <c r="C10" s="30">
        <f>'Kraan en situatie gegevens'!O23</f>
        <v>65.120967741935488</v>
      </c>
      <c r="D10" s="31" t="s">
        <v>8</v>
      </c>
      <c r="E10" s="31" t="s">
        <v>8</v>
      </c>
      <c r="F10" s="32" t="s">
        <v>8</v>
      </c>
      <c r="G10" s="33" t="s">
        <v>8</v>
      </c>
      <c r="H10" s="5" t="str">
        <f>IF('Kraan en situatie gegevens'!$B$13="RC1", "1,08",IF('Kraan en situatie gegevens'!$B$13="RC2", "1,20",IF('Kraan en situatie gegevens'!$B$13="RC3", "1,32","waarde overschreven")))</f>
        <v>1,20</v>
      </c>
      <c r="I10" s="34" t="s">
        <v>8</v>
      </c>
      <c r="J10" s="35">
        <f>IF(C10="-", "-",C10*H10)</f>
        <v>78.145161290322577</v>
      </c>
      <c r="K10" s="36" t="str">
        <f>IF(E10="-", "-",E10*H10*G10*$B$2*$D$3)</f>
        <v>-</v>
      </c>
      <c r="L10" s="36" t="str">
        <f>IF(F10="-", "-",F10*G10*H10*$B$2*$E$3)</f>
        <v>-</v>
      </c>
      <c r="M10" s="36" t="str">
        <f>IF(I10="-","-",IF(J10="-","-",J10*I10))</f>
        <v>-</v>
      </c>
      <c r="N10" s="36" t="str">
        <f>IF(I10="-","-",IF(K10="-","-",K10*I10))</f>
        <v>-</v>
      </c>
      <c r="O10" s="37" t="str">
        <f>IF(I10="-","-",IF(L10="-","-",L10*I10))</f>
        <v>-</v>
      </c>
    </row>
    <row r="11" spans="1:15" x14ac:dyDescent="0.2">
      <c r="A11" s="38"/>
      <c r="B11" s="39" t="s">
        <v>69</v>
      </c>
      <c r="C11" s="40" t="s">
        <v>8</v>
      </c>
      <c r="D11" s="41" t="s">
        <v>8</v>
      </c>
      <c r="E11" s="41" t="s">
        <v>8</v>
      </c>
      <c r="F11" s="42">
        <f>'Kraan en situatie gegevens'!S23</f>
        <v>1.2749999999999999</v>
      </c>
      <c r="G11" s="10">
        <v>1.6</v>
      </c>
      <c r="H11" s="10" t="str">
        <f>IF('Kraan en situatie gegevens'!$B$13="RC1", "1,35",IF('Kraan en situatie gegevens'!$B$13="RC2", "1,50",IF('Kraan en situatie gegevens'!$B$13="RC3", "1,65","waarde overschreven")))</f>
        <v>1,50</v>
      </c>
      <c r="I11" s="43" t="s">
        <v>8</v>
      </c>
      <c r="J11" s="44" t="str">
        <f>IF(C11="-", "-",C11*H11)</f>
        <v>-</v>
      </c>
      <c r="K11" s="45" t="str">
        <f>IF(E11="-", "-",E11*H11*G11*$B$2*$D$3)</f>
        <v>-</v>
      </c>
      <c r="L11" s="45">
        <f t="shared" ref="L11:L34" si="0">IF(F11="-", "-",F11*G11*H11*$B$2*$E$3)</f>
        <v>0.71886485490121987</v>
      </c>
      <c r="M11" s="45" t="str">
        <f t="shared" ref="M11:M35" si="1">IF(I11="-","-",IF(J11="-","-",J11*I11))</f>
        <v>-</v>
      </c>
      <c r="N11" s="45" t="str">
        <f t="shared" ref="N11:N34" si="2">IF(I11="-","-",IF(K11="-","-",K11*I11))</f>
        <v>-</v>
      </c>
      <c r="O11" s="46" t="str">
        <f t="shared" ref="O11:O34" si="3">IF(I11="-","-",IF(L11="-","-",L11*I11))</f>
        <v>-</v>
      </c>
    </row>
    <row r="12" spans="1:15" x14ac:dyDescent="0.2">
      <c r="A12" s="47" t="s">
        <v>70</v>
      </c>
      <c r="B12" s="48" t="s">
        <v>68</v>
      </c>
      <c r="C12" s="49">
        <f>'Kraan en situatie gegevens'!O8</f>
        <v>0</v>
      </c>
      <c r="D12" s="41" t="s">
        <v>8</v>
      </c>
      <c r="E12" s="41" t="s">
        <v>8</v>
      </c>
      <c r="F12" s="50" t="s">
        <v>8</v>
      </c>
      <c r="G12" s="15" t="s">
        <v>8</v>
      </c>
      <c r="H12" s="10" t="str">
        <f>IF('Kraan en situatie gegevens'!$B$13="RC1", "1,08",IF('Kraan en situatie gegevens'!$B$13="RC2", "1,20",IF('Kraan en situatie gegevens'!$B$13="RC3", "1,32","waarde overschreven")))</f>
        <v>1,20</v>
      </c>
      <c r="I12" s="51" t="s">
        <v>8</v>
      </c>
      <c r="J12" s="44">
        <f t="shared" ref="J12:J35" si="4">IF(C12="-", "-",C12*H12)</f>
        <v>0</v>
      </c>
      <c r="K12" s="45" t="str">
        <f>IF(E12="-", "-",E12*H12*G12*$B$2*$D$3)</f>
        <v>-</v>
      </c>
      <c r="L12" s="45" t="str">
        <f t="shared" si="0"/>
        <v>-</v>
      </c>
      <c r="M12" s="45" t="str">
        <f t="shared" si="1"/>
        <v>-</v>
      </c>
      <c r="N12" s="45" t="str">
        <f t="shared" si="2"/>
        <v>-</v>
      </c>
      <c r="O12" s="46" t="str">
        <f t="shared" si="3"/>
        <v>-</v>
      </c>
    </row>
    <row r="13" spans="1:15" x14ac:dyDescent="0.2">
      <c r="A13" s="38"/>
      <c r="B13" s="39" t="s">
        <v>69</v>
      </c>
      <c r="C13" s="40" t="s">
        <v>8</v>
      </c>
      <c r="D13" s="41" t="s">
        <v>8</v>
      </c>
      <c r="E13" s="52">
        <f>'Kraan en situatie gegevens'!R8</f>
        <v>5</v>
      </c>
      <c r="F13" s="42">
        <f>'Kraan en situatie gegevens'!S8</f>
        <v>7.5</v>
      </c>
      <c r="G13" s="10">
        <v>1.3</v>
      </c>
      <c r="H13" s="10" t="str">
        <f>IF('Kraan en situatie gegevens'!$B$13="RC1", "1,35",IF('Kraan en situatie gegevens'!$B$13="RC2", "1,50",IF('Kraan en situatie gegevens'!$B$13="RC3", "1,65","waarde overschreven")))</f>
        <v>1,50</v>
      </c>
      <c r="I13" s="43" t="s">
        <v>8</v>
      </c>
      <c r="J13" s="44" t="str">
        <f t="shared" si="4"/>
        <v>-</v>
      </c>
      <c r="K13" s="45">
        <f>IF(E13="-", "-",E13*H13*G13*$B$2*$D$3)</f>
        <v>0.83367409935631775</v>
      </c>
      <c r="L13" s="45">
        <f t="shared" si="0"/>
        <v>3.4357511447484774</v>
      </c>
      <c r="M13" s="45" t="str">
        <f t="shared" si="1"/>
        <v>-</v>
      </c>
      <c r="N13" s="45" t="str">
        <f t="shared" si="2"/>
        <v>-</v>
      </c>
      <c r="O13" s="46" t="str">
        <f t="shared" si="3"/>
        <v>-</v>
      </c>
    </row>
    <row r="14" spans="1:15" x14ac:dyDescent="0.2">
      <c r="A14" s="47" t="s">
        <v>71</v>
      </c>
      <c r="B14" s="48" t="s">
        <v>68</v>
      </c>
      <c r="C14" s="49">
        <f>'Kraan en situatie gegevens'!O9</f>
        <v>711</v>
      </c>
      <c r="D14" s="41" t="s">
        <v>8</v>
      </c>
      <c r="E14" s="41" t="s">
        <v>8</v>
      </c>
      <c r="F14" s="50" t="s">
        <v>8</v>
      </c>
      <c r="G14" s="15" t="s">
        <v>8</v>
      </c>
      <c r="H14" s="10" t="str">
        <f>IF('Kraan en situatie gegevens'!$B$13="RC1", "1,35",IF('Kraan en situatie gegevens'!$B$13="RC2", "1,50",IF('Kraan en situatie gegevens'!$B$13="RC3", "1,65","waarde overschreven")))</f>
        <v>1,50</v>
      </c>
      <c r="I14" s="53">
        <f>'Kraan en situatie gegevens'!P9</f>
        <v>-3.61</v>
      </c>
      <c r="J14" s="44">
        <f t="shared" si="4"/>
        <v>1066.5</v>
      </c>
      <c r="K14" s="45" t="str">
        <f t="shared" ref="K14:K34" si="5">IF(E14="-", "-",E14*H14*G14*$B$2*$D$3)</f>
        <v>-</v>
      </c>
      <c r="L14" s="45" t="str">
        <f t="shared" si="0"/>
        <v>-</v>
      </c>
      <c r="M14" s="45">
        <f>IF(I14="-","-",IF(J14="-","-",J14*I14))</f>
        <v>-3850.0650000000001</v>
      </c>
      <c r="N14" s="45" t="str">
        <f t="shared" si="2"/>
        <v>-</v>
      </c>
      <c r="O14" s="46" t="str">
        <f t="shared" si="3"/>
        <v>-</v>
      </c>
    </row>
    <row r="15" spans="1:15" x14ac:dyDescent="0.2">
      <c r="A15" s="38"/>
      <c r="B15" s="39" t="s">
        <v>69</v>
      </c>
      <c r="C15" s="40" t="s">
        <v>8</v>
      </c>
      <c r="D15" s="41" t="s">
        <v>8</v>
      </c>
      <c r="E15" s="41" t="s">
        <v>8</v>
      </c>
      <c r="F15" s="42">
        <f>'Kraan en situatie gegevens'!S9</f>
        <v>12.3</v>
      </c>
      <c r="G15" s="10">
        <v>1.55</v>
      </c>
      <c r="H15" s="10" t="str">
        <f>IF('Kraan en situatie gegevens'!$B$13="RC1", "1,35",IF('Kraan en situatie gegevens'!$B$13="RC2", "1,50",IF('Kraan en situatie gegevens'!$B$13="RC3", "1,65","waarde overschreven")))</f>
        <v>1,50</v>
      </c>
      <c r="I15" s="53">
        <f>'Kraan en situatie gegevens'!Q9</f>
        <v>1.6299999999999997</v>
      </c>
      <c r="J15" s="44" t="str">
        <f t="shared" si="4"/>
        <v>-</v>
      </c>
      <c r="K15" s="45" t="str">
        <f t="shared" si="5"/>
        <v>-</v>
      </c>
      <c r="L15" s="45">
        <f t="shared" si="0"/>
        <v>6.7182149307312544</v>
      </c>
      <c r="M15" s="45" t="str">
        <f t="shared" si="1"/>
        <v>-</v>
      </c>
      <c r="N15" s="45" t="str">
        <f t="shared" si="2"/>
        <v>-</v>
      </c>
      <c r="O15" s="46">
        <f t="shared" si="3"/>
        <v>10.950690337091942</v>
      </c>
    </row>
    <row r="16" spans="1:15" x14ac:dyDescent="0.2">
      <c r="A16" s="47" t="s">
        <v>72</v>
      </c>
      <c r="B16" s="48" t="s">
        <v>68</v>
      </c>
      <c r="C16" s="49">
        <f>'Kraan en situatie gegevens'!O10</f>
        <v>91.5</v>
      </c>
      <c r="D16" s="41" t="s">
        <v>8</v>
      </c>
      <c r="E16" s="41" t="s">
        <v>8</v>
      </c>
      <c r="F16" s="50" t="s">
        <v>8</v>
      </c>
      <c r="G16" s="15" t="s">
        <v>8</v>
      </c>
      <c r="H16" s="10" t="str">
        <f>IF('Kraan en situatie gegevens'!$B$13="RC1", "1,35",IF('Kraan en situatie gegevens'!$B$13="RC2", "1,50",IF('Kraan en situatie gegevens'!$B$13="RC3", "1,65","waarde overschreven")))</f>
        <v>1,50</v>
      </c>
      <c r="I16" s="53">
        <f>'Kraan en situatie gegevens'!P10</f>
        <v>-7.5</v>
      </c>
      <c r="J16" s="44">
        <f t="shared" si="4"/>
        <v>137.25</v>
      </c>
      <c r="K16" s="45" t="str">
        <f t="shared" si="5"/>
        <v>-</v>
      </c>
      <c r="L16" s="45" t="str">
        <f t="shared" si="0"/>
        <v>-</v>
      </c>
      <c r="M16" s="45">
        <f t="shared" si="1"/>
        <v>-1029.375</v>
      </c>
      <c r="N16" s="45" t="str">
        <f t="shared" si="2"/>
        <v>-</v>
      </c>
      <c r="O16" s="46" t="str">
        <f t="shared" si="3"/>
        <v>-</v>
      </c>
    </row>
    <row r="17" spans="1:15" x14ac:dyDescent="0.2">
      <c r="A17" s="38"/>
      <c r="B17" s="39" t="s">
        <v>69</v>
      </c>
      <c r="C17" s="40" t="s">
        <v>8</v>
      </c>
      <c r="D17" s="41" t="s">
        <v>8</v>
      </c>
      <c r="E17" s="52">
        <f>'Kraan en situatie gegevens'!R10</f>
        <v>12.6</v>
      </c>
      <c r="F17" s="42">
        <f>'Kraan en situatie gegevens'!S10</f>
        <v>2.4</v>
      </c>
      <c r="G17" s="10">
        <v>1.4</v>
      </c>
      <c r="H17" s="10" t="str">
        <f>IF('Kraan en situatie gegevens'!$B$13="RC1", "1,35",IF('Kraan en situatie gegevens'!$B$13="RC2", "1,50",IF('Kraan en situatie gegevens'!$B$13="RC3", "1,65","waarde overschreven")))</f>
        <v>1,50</v>
      </c>
      <c r="I17" s="53">
        <f>'Kraan en situatie gegevens'!Q10</f>
        <v>4.2</v>
      </c>
      <c r="J17" s="44" t="str">
        <f t="shared" si="4"/>
        <v>-</v>
      </c>
      <c r="K17" s="45">
        <f>IF(E17="-", "-",E17*H17*G17*$B$2*$D$3)</f>
        <v>2.2624632480992992</v>
      </c>
      <c r="L17" s="45">
        <f t="shared" si="0"/>
        <v>1.1840127021902445</v>
      </c>
      <c r="M17" s="45" t="str">
        <f t="shared" si="1"/>
        <v>-</v>
      </c>
      <c r="N17" s="45">
        <f t="shared" si="2"/>
        <v>9.5023456420170564</v>
      </c>
      <c r="O17" s="46">
        <f t="shared" si="3"/>
        <v>4.9728533491990268</v>
      </c>
    </row>
    <row r="18" spans="1:15" x14ac:dyDescent="0.2">
      <c r="A18" s="47" t="s">
        <v>73</v>
      </c>
      <c r="B18" s="48" t="s">
        <v>68</v>
      </c>
      <c r="C18" s="49">
        <f>'Kraan en situatie gegevens'!O11</f>
        <v>57</v>
      </c>
      <c r="D18" s="41" t="s">
        <v>8</v>
      </c>
      <c r="E18" s="41" t="s">
        <v>8</v>
      </c>
      <c r="F18" s="50" t="s">
        <v>8</v>
      </c>
      <c r="G18" s="15" t="s">
        <v>8</v>
      </c>
      <c r="H18" s="10" t="str">
        <f>IF('Kraan en situatie gegevens'!$B$13="RC1", "1,35",IF('Kraan en situatie gegevens'!$B$13="RC2", "1,50",IF('Kraan en situatie gegevens'!$B$13="RC3", "1,65","waarde overschreven")))</f>
        <v>1,50</v>
      </c>
      <c r="I18" s="53">
        <f>'Kraan en situatie gegevens'!P11</f>
        <v>-0.2</v>
      </c>
      <c r="J18" s="44">
        <f t="shared" si="4"/>
        <v>85.5</v>
      </c>
      <c r="K18" s="45" t="str">
        <f t="shared" si="5"/>
        <v>-</v>
      </c>
      <c r="L18" s="45" t="str">
        <f t="shared" si="0"/>
        <v>-</v>
      </c>
      <c r="M18" s="45">
        <f t="shared" si="1"/>
        <v>-17.100000000000001</v>
      </c>
      <c r="N18" s="45" t="str">
        <f t="shared" si="2"/>
        <v>-</v>
      </c>
      <c r="O18" s="46" t="str">
        <f t="shared" si="3"/>
        <v>-</v>
      </c>
    </row>
    <row r="19" spans="1:15" x14ac:dyDescent="0.2">
      <c r="A19" s="38"/>
      <c r="B19" s="39" t="s">
        <v>69</v>
      </c>
      <c r="C19" s="40" t="s">
        <v>8</v>
      </c>
      <c r="D19" s="41" t="s">
        <v>8</v>
      </c>
      <c r="E19" s="52">
        <f>'Kraan en situatie gegevens'!R11</f>
        <v>12</v>
      </c>
      <c r="F19" s="42">
        <f>'Kraan en situatie gegevens'!S11</f>
        <v>12.5</v>
      </c>
      <c r="G19" s="10">
        <v>1.6</v>
      </c>
      <c r="H19" s="10" t="str">
        <f>IF('Kraan en situatie gegevens'!$B$13="RC1", "1,35",IF('Kraan en situatie gegevens'!$B$13="RC2", "1,50",IF('Kraan en situatie gegevens'!$B$13="RC3", "1,65","waarde overschreven")))</f>
        <v>1,50</v>
      </c>
      <c r="I19" s="53">
        <f>'Kraan en situatie gegevens'!Q11</f>
        <v>14.7</v>
      </c>
      <c r="J19" s="44" t="str">
        <f t="shared" si="4"/>
        <v>-</v>
      </c>
      <c r="K19" s="45">
        <f t="shared" si="5"/>
        <v>2.4625450319448157</v>
      </c>
      <c r="L19" s="45">
        <f t="shared" si="0"/>
        <v>7.0476946558943121</v>
      </c>
      <c r="M19" s="45" t="str">
        <f t="shared" si="1"/>
        <v>-</v>
      </c>
      <c r="N19" s="45">
        <f t="shared" si="2"/>
        <v>36.199411969588787</v>
      </c>
      <c r="O19" s="46">
        <f t="shared" si="3"/>
        <v>103.60111144164638</v>
      </c>
    </row>
    <row r="20" spans="1:15" x14ac:dyDescent="0.2">
      <c r="A20" s="47" t="s">
        <v>74</v>
      </c>
      <c r="B20" s="48" t="s">
        <v>68</v>
      </c>
      <c r="C20" s="49">
        <f>'Kraan en situatie gegevens'!O12</f>
        <v>14.6</v>
      </c>
      <c r="D20" s="41" t="s">
        <v>8</v>
      </c>
      <c r="E20" s="41" t="s">
        <v>8</v>
      </c>
      <c r="F20" s="50" t="s">
        <v>8</v>
      </c>
      <c r="G20" s="15" t="s">
        <v>8</v>
      </c>
      <c r="H20" s="10" t="str">
        <f>IF('Kraan en situatie gegevens'!$B$13="RC1", "1,35",IF('Kraan en situatie gegevens'!$B$13="RC2", "1,50",IF('Kraan en situatie gegevens'!$B$13="RC3", "1,65","waarde overschreven")))</f>
        <v>1,50</v>
      </c>
      <c r="I20" s="53">
        <f>'Kraan en situatie gegevens'!P12</f>
        <v>4.9000000000000004</v>
      </c>
      <c r="J20" s="44">
        <f t="shared" si="4"/>
        <v>21.9</v>
      </c>
      <c r="K20" s="45" t="str">
        <f t="shared" si="5"/>
        <v>-</v>
      </c>
      <c r="L20" s="45" t="str">
        <f t="shared" si="0"/>
        <v>-</v>
      </c>
      <c r="M20" s="45">
        <f t="shared" si="1"/>
        <v>107.31</v>
      </c>
      <c r="N20" s="45" t="str">
        <f t="shared" si="2"/>
        <v>-</v>
      </c>
      <c r="O20" s="46" t="str">
        <f t="shared" si="3"/>
        <v>-</v>
      </c>
    </row>
    <row r="21" spans="1:15" x14ac:dyDescent="0.2">
      <c r="A21" s="38"/>
      <c r="B21" s="39" t="s">
        <v>69</v>
      </c>
      <c r="C21" s="40" t="s">
        <v>8</v>
      </c>
      <c r="D21" s="41" t="s">
        <v>8</v>
      </c>
      <c r="E21" s="41" t="s">
        <v>8</v>
      </c>
      <c r="F21" s="42">
        <f>'Kraan en situatie gegevens'!S12</f>
        <v>1.5</v>
      </c>
      <c r="G21" s="10">
        <v>0.9</v>
      </c>
      <c r="H21" s="10" t="str">
        <f>IF('Kraan en situatie gegevens'!$B$13="RC1", "1,35",IF('Kraan en situatie gegevens'!$B$13="RC2", "1,50",IF('Kraan en situatie gegevens'!$B$13="RC3", "1,65","waarde overschreven")))</f>
        <v>1,50</v>
      </c>
      <c r="I21" s="53">
        <f>'Kraan en situatie gegevens'!Q12</f>
        <v>2.4</v>
      </c>
      <c r="J21" s="44" t="str">
        <f t="shared" si="4"/>
        <v>-</v>
      </c>
      <c r="K21" s="45" t="str">
        <f t="shared" si="5"/>
        <v>-</v>
      </c>
      <c r="L21" s="45">
        <f t="shared" si="0"/>
        <v>0.47571938927286617</v>
      </c>
      <c r="M21" s="45" t="str">
        <f t="shared" si="1"/>
        <v>-</v>
      </c>
      <c r="N21" s="45" t="str">
        <f t="shared" si="2"/>
        <v>-</v>
      </c>
      <c r="O21" s="46">
        <f t="shared" si="3"/>
        <v>1.1417265342548788</v>
      </c>
    </row>
    <row r="22" spans="1:15" x14ac:dyDescent="0.2">
      <c r="A22" s="47" t="s">
        <v>75</v>
      </c>
      <c r="B22" s="48" t="s">
        <v>68</v>
      </c>
      <c r="C22" s="49">
        <f>'Kraan en situatie gegevens'!O13</f>
        <v>128</v>
      </c>
      <c r="D22" s="41" t="s">
        <v>8</v>
      </c>
      <c r="E22" s="41" t="s">
        <v>8</v>
      </c>
      <c r="F22" s="50" t="s">
        <v>8</v>
      </c>
      <c r="G22" s="15" t="s">
        <v>8</v>
      </c>
      <c r="H22" s="10" t="str">
        <f>IF('Kraan en situatie gegevens'!$B$13="RC1", "1,35",IF('Kraan en situatie gegevens'!$B$13="RC2", "1,50",IF('Kraan en situatie gegevens'!$B$13="RC3", "1,65","waarde overschreven")))</f>
        <v>1,50</v>
      </c>
      <c r="I22" s="53">
        <f>'Kraan en situatie gegevens'!P13</f>
        <v>6.6</v>
      </c>
      <c r="J22" s="44">
        <f t="shared" si="4"/>
        <v>192</v>
      </c>
      <c r="K22" s="45" t="str">
        <f t="shared" si="5"/>
        <v>-</v>
      </c>
      <c r="L22" s="45" t="str">
        <f t="shared" si="0"/>
        <v>-</v>
      </c>
      <c r="M22" s="45">
        <f t="shared" si="1"/>
        <v>1267.1999999999998</v>
      </c>
      <c r="N22" s="45" t="str">
        <f t="shared" si="2"/>
        <v>-</v>
      </c>
      <c r="O22" s="46" t="str">
        <f t="shared" si="3"/>
        <v>-</v>
      </c>
    </row>
    <row r="23" spans="1:15" x14ac:dyDescent="0.2">
      <c r="A23" s="38"/>
      <c r="B23" s="39" t="s">
        <v>69</v>
      </c>
      <c r="C23" s="40" t="s">
        <v>8</v>
      </c>
      <c r="D23" s="41" t="s">
        <v>8</v>
      </c>
      <c r="E23" s="52">
        <f>'Kraan en situatie gegevens'!R13</f>
        <v>23</v>
      </c>
      <c r="F23" s="42">
        <f>'Kraan en situatie gegevens'!S13</f>
        <v>33.6</v>
      </c>
      <c r="G23" s="10">
        <v>1.65</v>
      </c>
      <c r="H23" s="10" t="str">
        <f>IF('Kraan en situatie gegevens'!$B$13="RC1", "1,35",IF('Kraan en situatie gegevens'!$B$13="RC2", "1,50",IF('Kraan en situatie gegevens'!$B$13="RC3", "1,65","waarde overschreven")))</f>
        <v>1,50</v>
      </c>
      <c r="I23" s="53">
        <f>'Kraan en situatie gegevens'!Q13</f>
        <v>19.5</v>
      </c>
      <c r="J23" s="44" t="str">
        <f t="shared" si="4"/>
        <v>-</v>
      </c>
      <c r="K23" s="45">
        <f t="shared" si="5"/>
        <v>4.8673741647034241</v>
      </c>
      <c r="L23" s="45">
        <f t="shared" si="0"/>
        <v>19.536209586139034</v>
      </c>
      <c r="M23" s="45" t="str">
        <f t="shared" si="1"/>
        <v>-</v>
      </c>
      <c r="N23" s="45">
        <f t="shared" si="2"/>
        <v>94.913796211716772</v>
      </c>
      <c r="O23" s="46">
        <f t="shared" si="3"/>
        <v>380.95608692971115</v>
      </c>
    </row>
    <row r="24" spans="1:15" x14ac:dyDescent="0.2">
      <c r="A24" s="47" t="s">
        <v>76</v>
      </c>
      <c r="B24" s="48" t="s">
        <v>68</v>
      </c>
      <c r="C24" s="49">
        <f>'Kraan en situatie gegevens'!O14</f>
        <v>20</v>
      </c>
      <c r="D24" s="41" t="s">
        <v>8</v>
      </c>
      <c r="E24" s="41" t="s">
        <v>8</v>
      </c>
      <c r="F24" s="50" t="s">
        <v>8</v>
      </c>
      <c r="G24" s="15" t="s">
        <v>8</v>
      </c>
      <c r="H24" s="10" t="str">
        <f>IF('Kraan en situatie gegevens'!$B$13="RC1", "1,35",IF('Kraan en situatie gegevens'!$B$13="RC2", "1,50",IF('Kraan en situatie gegevens'!$B$13="RC3", "1,65","waarde overschreven")))</f>
        <v>1,50</v>
      </c>
      <c r="I24" s="53">
        <f>'Kraan en situatie gegevens'!P14</f>
        <v>3.5</v>
      </c>
      <c r="J24" s="44">
        <f t="shared" si="4"/>
        <v>30</v>
      </c>
      <c r="K24" s="45" t="str">
        <f t="shared" si="5"/>
        <v>-</v>
      </c>
      <c r="L24" s="45" t="str">
        <f t="shared" si="0"/>
        <v>-</v>
      </c>
      <c r="M24" s="45">
        <f t="shared" si="1"/>
        <v>105</v>
      </c>
      <c r="N24" s="45" t="str">
        <f t="shared" si="2"/>
        <v>-</v>
      </c>
      <c r="O24" s="46" t="str">
        <f t="shared" si="3"/>
        <v>-</v>
      </c>
    </row>
    <row r="25" spans="1:15" x14ac:dyDescent="0.2">
      <c r="A25" s="38"/>
      <c r="B25" s="39" t="s">
        <v>69</v>
      </c>
      <c r="C25" s="40" t="s">
        <v>8</v>
      </c>
      <c r="D25" s="41" t="s">
        <v>8</v>
      </c>
      <c r="E25" s="52">
        <f>'Kraan en situatie gegevens'!R14</f>
        <v>2.5</v>
      </c>
      <c r="F25" s="42">
        <f>'Kraan en situatie gegevens'!S14</f>
        <v>4.4000000000000004</v>
      </c>
      <c r="G25" s="10">
        <v>1.3</v>
      </c>
      <c r="H25" s="10" t="str">
        <f>IF('Kraan en situatie gegevens'!$B$13="RC1", "1,35",IF('Kraan en situatie gegevens'!$B$13="RC2", "1,50",IF('Kraan en situatie gegevens'!$B$13="RC3", "1,65","waarde overschreven")))</f>
        <v>1,50</v>
      </c>
      <c r="I25" s="53">
        <f>'Kraan en situatie gegevens'!Q14</f>
        <v>39.799999999999997</v>
      </c>
      <c r="J25" s="44" t="str">
        <f t="shared" si="4"/>
        <v>-</v>
      </c>
      <c r="K25" s="45">
        <f t="shared" si="5"/>
        <v>0.41683704967815888</v>
      </c>
      <c r="L25" s="45">
        <f t="shared" si="0"/>
        <v>2.015640671585774</v>
      </c>
      <c r="M25" s="45" t="str">
        <f t="shared" si="1"/>
        <v>-</v>
      </c>
      <c r="N25" s="45">
        <f t="shared" si="2"/>
        <v>16.590114577190722</v>
      </c>
      <c r="O25" s="46">
        <f t="shared" si="3"/>
        <v>80.222498729113795</v>
      </c>
    </row>
    <row r="26" spans="1:15" x14ac:dyDescent="0.2">
      <c r="A26" s="47" t="s">
        <v>77</v>
      </c>
      <c r="B26" s="48" t="s">
        <v>68</v>
      </c>
      <c r="C26" s="49">
        <f>'Kraan en situatie gegevens'!O15</f>
        <v>114</v>
      </c>
      <c r="D26" s="41" t="s">
        <v>8</v>
      </c>
      <c r="E26" s="41" t="s">
        <v>8</v>
      </c>
      <c r="F26" s="50" t="s">
        <v>8</v>
      </c>
      <c r="G26" s="15" t="s">
        <v>8</v>
      </c>
      <c r="H26" s="10" t="str">
        <f>IF('Kraan en situatie gegevens'!$B$13="RC1", "1,35",IF('Kraan en situatie gegevens'!$B$13="RC2", "1,50",IF('Kraan en situatie gegevens'!$B$13="RC3", "1,65","waarde overschreven")))</f>
        <v>1,50</v>
      </c>
      <c r="I26" s="53">
        <f>'Kraan en situatie gegevens'!P15</f>
        <v>7.6</v>
      </c>
      <c r="J26" s="44">
        <f t="shared" si="4"/>
        <v>171</v>
      </c>
      <c r="K26" s="45" t="str">
        <f t="shared" si="5"/>
        <v>-</v>
      </c>
      <c r="L26" s="45" t="str">
        <f t="shared" si="0"/>
        <v>-</v>
      </c>
      <c r="M26" s="45">
        <f t="shared" si="1"/>
        <v>1299.5999999999999</v>
      </c>
      <c r="N26" s="45" t="str">
        <f t="shared" si="2"/>
        <v>-</v>
      </c>
      <c r="O26" s="46" t="str">
        <f t="shared" si="3"/>
        <v>-</v>
      </c>
    </row>
    <row r="27" spans="1:15" x14ac:dyDescent="0.2">
      <c r="A27" s="38"/>
      <c r="B27" s="39" t="s">
        <v>69</v>
      </c>
      <c r="C27" s="40" t="s">
        <v>8</v>
      </c>
      <c r="D27" s="41" t="s">
        <v>8</v>
      </c>
      <c r="E27" s="52">
        <f>'Kraan en situatie gegevens'!R15</f>
        <v>3.4</v>
      </c>
      <c r="F27" s="42">
        <f>'Kraan en situatie gegevens'!S15</f>
        <v>6.75</v>
      </c>
      <c r="G27" s="10">
        <v>0.8</v>
      </c>
      <c r="H27" s="10" t="str">
        <f>IF('Kraan en situatie gegevens'!$B$13="RC1", "1,35",IF('Kraan en situatie gegevens'!$B$13="RC2", "1,50",IF('Kraan en situatie gegevens'!$B$13="RC3", "1,65","waarde overschreven")))</f>
        <v>1,50</v>
      </c>
      <c r="I27" s="53">
        <f>'Kraan en situatie gegevens'!Q15</f>
        <v>18.3</v>
      </c>
      <c r="J27" s="44" t="str">
        <f t="shared" si="4"/>
        <v>-</v>
      </c>
      <c r="K27" s="45">
        <f t="shared" si="5"/>
        <v>0.34886054619218221</v>
      </c>
      <c r="L27" s="45">
        <f t="shared" si="0"/>
        <v>1.9028775570914647</v>
      </c>
      <c r="M27" s="45" t="str">
        <f t="shared" si="1"/>
        <v>-</v>
      </c>
      <c r="N27" s="45">
        <f t="shared" si="2"/>
        <v>6.3841479953169342</v>
      </c>
      <c r="O27" s="46">
        <f t="shared" si="3"/>
        <v>34.822659294773807</v>
      </c>
    </row>
    <row r="28" spans="1:15" x14ac:dyDescent="0.2">
      <c r="A28" s="47" t="s">
        <v>78</v>
      </c>
      <c r="B28" s="48" t="s">
        <v>68</v>
      </c>
      <c r="C28" s="49">
        <f>'Kraan en situatie gegevens'!O25</f>
        <v>1</v>
      </c>
      <c r="D28" s="41" t="s">
        <v>8</v>
      </c>
      <c r="E28" s="41" t="s">
        <v>8</v>
      </c>
      <c r="F28" s="50" t="s">
        <v>8</v>
      </c>
      <c r="G28" s="15" t="s">
        <v>8</v>
      </c>
      <c r="H28" s="10" t="str">
        <f>IF('Kraan en situatie gegevens'!$B$13="RC1", "1,35",IF('Kraan en situatie gegevens'!$B$13="RC2", "1,50",IF('Kraan en situatie gegevens'!$B$13="RC3", "1,65","waarde overschreven")))</f>
        <v>1,50</v>
      </c>
      <c r="I28" s="53">
        <f>'Kraan en situatie gegevens'!P25</f>
        <v>7.6</v>
      </c>
      <c r="J28" s="44">
        <f t="shared" si="4"/>
        <v>1.5</v>
      </c>
      <c r="K28" s="45" t="str">
        <f t="shared" si="5"/>
        <v>-</v>
      </c>
      <c r="L28" s="45" t="str">
        <f t="shared" si="0"/>
        <v>-</v>
      </c>
      <c r="M28" s="45">
        <f t="shared" si="1"/>
        <v>11.399999999999999</v>
      </c>
      <c r="N28" s="45" t="str">
        <f t="shared" si="2"/>
        <v>-</v>
      </c>
      <c r="O28" s="46" t="str">
        <f t="shared" si="3"/>
        <v>-</v>
      </c>
    </row>
    <row r="29" spans="1:15" x14ac:dyDescent="0.2">
      <c r="A29" s="38"/>
      <c r="B29" s="39" t="s">
        <v>69</v>
      </c>
      <c r="C29" s="40" t="s">
        <v>8</v>
      </c>
      <c r="D29" s="41" t="s">
        <v>8</v>
      </c>
      <c r="E29" s="52">
        <f>'Kraan en situatie gegevens'!R25</f>
        <v>0.5</v>
      </c>
      <c r="F29" s="42">
        <f>'Kraan en situatie gegevens'!S25</f>
        <v>1</v>
      </c>
      <c r="G29" s="10">
        <v>0.6</v>
      </c>
      <c r="H29" s="10" t="str">
        <f>IF('Kraan en situatie gegevens'!$B$13="RC1", "1,35",IF('Kraan en situatie gegevens'!$B$13="RC2", "1,50",IF('Kraan en situatie gegevens'!$B$13="RC3", "1,65","waarde overschreven")))</f>
        <v>1,50</v>
      </c>
      <c r="I29" s="53">
        <f>'Kraan en situatie gegevens'!Q25</f>
        <v>15</v>
      </c>
      <c r="J29" s="44" t="str">
        <f t="shared" si="4"/>
        <v>-</v>
      </c>
      <c r="K29" s="45">
        <f t="shared" si="5"/>
        <v>3.8477266124137738E-2</v>
      </c>
      <c r="L29" s="45">
        <f t="shared" si="0"/>
        <v>0.21143083967682935</v>
      </c>
      <c r="M29" s="45" t="str">
        <f t="shared" si="1"/>
        <v>-</v>
      </c>
      <c r="N29" s="45">
        <f t="shared" si="2"/>
        <v>0.5771589918620661</v>
      </c>
      <c r="O29" s="46">
        <f t="shared" si="3"/>
        <v>3.1714625951524402</v>
      </c>
    </row>
    <row r="30" spans="1:15" x14ac:dyDescent="0.2">
      <c r="A30" s="47" t="s">
        <v>79</v>
      </c>
      <c r="B30" s="48" t="s">
        <v>68</v>
      </c>
      <c r="C30" s="49">
        <f>'Kraan en situatie gegevens'!O24</f>
        <v>22.5</v>
      </c>
      <c r="D30" s="41" t="s">
        <v>8</v>
      </c>
      <c r="E30" s="41" t="s">
        <v>8</v>
      </c>
      <c r="F30" s="50" t="s">
        <v>8</v>
      </c>
      <c r="G30" s="15" t="s">
        <v>8</v>
      </c>
      <c r="H30" s="10" t="str">
        <f>IF('Kraan en situatie gegevens'!$B$13="RC1", "1,35",IF('Kraan en situatie gegevens'!$B$13="RC2", "1,50",IF('Kraan en situatie gegevens'!$B$13="RC3", "1,65","waarde overschreven")))</f>
        <v>1,50</v>
      </c>
      <c r="I30" s="53">
        <f>'Kraan en situatie gegevens'!P24</f>
        <v>7.6</v>
      </c>
      <c r="J30" s="44">
        <f t="shared" si="4"/>
        <v>33.75</v>
      </c>
      <c r="K30" s="45" t="str">
        <f t="shared" si="5"/>
        <v>-</v>
      </c>
      <c r="L30" s="45" t="str">
        <f t="shared" si="0"/>
        <v>-</v>
      </c>
      <c r="M30" s="45">
        <f t="shared" si="1"/>
        <v>256.5</v>
      </c>
      <c r="N30" s="45" t="str">
        <f t="shared" si="2"/>
        <v>-</v>
      </c>
      <c r="O30" s="46" t="str">
        <f t="shared" si="3"/>
        <v>-</v>
      </c>
    </row>
    <row r="31" spans="1:15" x14ac:dyDescent="0.2">
      <c r="A31" s="38"/>
      <c r="B31" s="39" t="s">
        <v>69</v>
      </c>
      <c r="C31" s="40" t="s">
        <v>8</v>
      </c>
      <c r="D31" s="41" t="s">
        <v>8</v>
      </c>
      <c r="E31" s="52">
        <f>'Kraan en situatie gegevens'!R24</f>
        <v>3.75</v>
      </c>
      <c r="F31" s="42">
        <f>'Kraan en situatie gegevens'!S24</f>
        <v>3.75</v>
      </c>
      <c r="G31" s="10">
        <v>0.65</v>
      </c>
      <c r="H31" s="10" t="str">
        <f>IF('Kraan en situatie gegevens'!$B$13="RC1", "1,35",IF('Kraan en situatie gegevens'!$B$13="RC2", "1,50",IF('Kraan en situatie gegevens'!$B$13="RC3", "1,65","waarde overschreven")))</f>
        <v>1,50</v>
      </c>
      <c r="I31" s="53">
        <f>'Kraan en situatie gegevens'!Q24</f>
        <v>7.5</v>
      </c>
      <c r="J31" s="44" t="str">
        <f t="shared" si="4"/>
        <v>-</v>
      </c>
      <c r="K31" s="45">
        <f t="shared" si="5"/>
        <v>0.31262778725861917</v>
      </c>
      <c r="L31" s="45">
        <f t="shared" si="0"/>
        <v>0.85893778618711936</v>
      </c>
      <c r="M31" s="45" t="str">
        <f t="shared" si="1"/>
        <v>-</v>
      </c>
      <c r="N31" s="45">
        <f t="shared" si="2"/>
        <v>2.3447084044396438</v>
      </c>
      <c r="O31" s="46">
        <f t="shared" si="3"/>
        <v>6.4420333964033949</v>
      </c>
    </row>
    <row r="32" spans="1:15" x14ac:dyDescent="0.2">
      <c r="A32" s="47" t="s">
        <v>80</v>
      </c>
      <c r="B32" s="48" t="s">
        <v>68</v>
      </c>
      <c r="C32" s="49">
        <f>'Kraan en situatie gegevens'!O26</f>
        <v>0</v>
      </c>
      <c r="D32" s="41" t="s">
        <v>8</v>
      </c>
      <c r="E32" s="41" t="s">
        <v>8</v>
      </c>
      <c r="F32" s="50" t="s">
        <v>8</v>
      </c>
      <c r="G32" s="15" t="s">
        <v>8</v>
      </c>
      <c r="H32" s="10" t="str">
        <f>IF('Kraan en situatie gegevens'!$B$13="RC1", "1,35",IF('Kraan en situatie gegevens'!$B$13="RC2", "1,50",IF('Kraan en situatie gegevens'!$B$13="RC3", "1,65","waarde overschreven")))</f>
        <v>1,50</v>
      </c>
      <c r="I32" s="53">
        <f>'Kraan en situatie gegevens'!P26</f>
        <v>7.6</v>
      </c>
      <c r="J32" s="44">
        <f t="shared" si="4"/>
        <v>0</v>
      </c>
      <c r="K32" s="45" t="str">
        <f t="shared" si="5"/>
        <v>-</v>
      </c>
      <c r="L32" s="45" t="str">
        <f t="shared" si="0"/>
        <v>-</v>
      </c>
      <c r="M32" s="45">
        <f t="shared" si="1"/>
        <v>0</v>
      </c>
      <c r="N32" s="45" t="str">
        <f t="shared" si="2"/>
        <v>-</v>
      </c>
      <c r="O32" s="46" t="str">
        <f t="shared" si="3"/>
        <v>-</v>
      </c>
    </row>
    <row r="33" spans="1:15" x14ac:dyDescent="0.2">
      <c r="A33" s="38"/>
      <c r="B33" s="39" t="s">
        <v>69</v>
      </c>
      <c r="C33" s="40" t="s">
        <v>8</v>
      </c>
      <c r="D33" s="41" t="s">
        <v>8</v>
      </c>
      <c r="E33" s="41" t="s">
        <v>8</v>
      </c>
      <c r="F33" s="50" t="s">
        <v>8</v>
      </c>
      <c r="G33" s="15" t="s">
        <v>8</v>
      </c>
      <c r="H33" s="10" t="str">
        <f>IF('Kraan en situatie gegevens'!$B$13="RC1", "1,35",IF('Kraan en situatie gegevens'!$B$13="RC2", "1,50",IF('Kraan en situatie gegevens'!$B$13="RC3", "1,65","waarde overschreven")))</f>
        <v>1,50</v>
      </c>
      <c r="I33" s="53">
        <f>'Kraan en situatie gegevens'!Q26</f>
        <v>7.6</v>
      </c>
      <c r="J33" s="44" t="str">
        <f t="shared" si="4"/>
        <v>-</v>
      </c>
      <c r="K33" s="45" t="str">
        <f t="shared" si="5"/>
        <v>-</v>
      </c>
      <c r="L33" s="45" t="str">
        <f t="shared" si="0"/>
        <v>-</v>
      </c>
      <c r="M33" s="45" t="str">
        <f t="shared" si="1"/>
        <v>-</v>
      </c>
      <c r="N33" s="45" t="str">
        <f t="shared" si="2"/>
        <v>-</v>
      </c>
      <c r="O33" s="46" t="str">
        <f t="shared" si="3"/>
        <v>-</v>
      </c>
    </row>
    <row r="34" spans="1:15" x14ac:dyDescent="0.2">
      <c r="A34" s="54" t="s">
        <v>81</v>
      </c>
      <c r="B34" s="55" t="s">
        <v>68</v>
      </c>
      <c r="C34" s="56" t="s">
        <v>8</v>
      </c>
      <c r="D34" s="57" t="s">
        <v>8</v>
      </c>
      <c r="E34" s="57" t="s">
        <v>8</v>
      </c>
      <c r="F34" s="58" t="s">
        <v>8</v>
      </c>
      <c r="G34" s="15" t="s">
        <v>8</v>
      </c>
      <c r="H34" s="10" t="str">
        <f>IF('Kraan en situatie gegevens'!$B$13="RC1", "1,35",IF('Kraan en situatie gegevens'!$B$13="RC2", "1,50",IF('Kraan en situatie gegevens'!$B$13="RC3", "1,65","waarde overschreven")))</f>
        <v>1,50</v>
      </c>
      <c r="I34" s="59" t="str">
        <f>'Kraan en situatie gegevens'!P16</f>
        <v>-</v>
      </c>
      <c r="J34" s="44" t="str">
        <f t="shared" si="4"/>
        <v>-</v>
      </c>
      <c r="K34" s="45" t="str">
        <f t="shared" si="5"/>
        <v>-</v>
      </c>
      <c r="L34" s="45" t="str">
        <f t="shared" si="0"/>
        <v>-</v>
      </c>
      <c r="M34" s="45" t="str">
        <f t="shared" si="1"/>
        <v>-</v>
      </c>
      <c r="N34" s="45" t="str">
        <f t="shared" si="2"/>
        <v>-</v>
      </c>
      <c r="O34" s="46" t="str">
        <f t="shared" si="3"/>
        <v>-</v>
      </c>
    </row>
    <row r="35" spans="1:15" ht="13.5" thickBot="1" x14ac:dyDescent="0.25">
      <c r="A35" s="60"/>
      <c r="B35" s="61" t="s">
        <v>69</v>
      </c>
      <c r="C35" s="62" t="s">
        <v>8</v>
      </c>
      <c r="D35" s="63">
        <f>'Kraan en situatie gegevens'!O16</f>
        <v>51.125</v>
      </c>
      <c r="E35" s="63" t="s">
        <v>8</v>
      </c>
      <c r="F35" s="64" t="s">
        <v>8</v>
      </c>
      <c r="G35" s="23" t="s">
        <v>8</v>
      </c>
      <c r="H35" s="22" t="str">
        <f>IF('Kraan en situatie gegevens'!$B$13="RC1", "1,35",IF('Kraan en situatie gegevens'!$B$13="RC2", "1,50",IF('Kraan en situatie gegevens'!$B$13="RC3", "1,65","waarde overschreven")))</f>
        <v>1,50</v>
      </c>
      <c r="I35" s="65">
        <f>'Kraan en situatie gegevens'!Q16</f>
        <v>39.799999999999997</v>
      </c>
      <c r="J35" s="66" t="str">
        <f t="shared" si="4"/>
        <v>-</v>
      </c>
      <c r="K35" s="67">
        <f>D35*H35*D3</f>
        <v>26.228669741287227</v>
      </c>
      <c r="L35" s="67">
        <f>50*H35*E3</f>
        <v>70.476946558943126</v>
      </c>
      <c r="M35" s="67" t="str">
        <f t="shared" si="1"/>
        <v>-</v>
      </c>
      <c r="N35" s="68">
        <f>I35*K35</f>
        <v>1043.9010557032316</v>
      </c>
      <c r="O35" s="69">
        <f>I35*L35</f>
        <v>2804.9824730459363</v>
      </c>
    </row>
    <row r="36" spans="1:15" ht="13.5" thickBot="1" x14ac:dyDescent="0.25">
      <c r="A36" s="70" t="s">
        <v>82</v>
      </c>
      <c r="B36" s="71"/>
      <c r="J36" s="72">
        <f t="shared" ref="J36:O36" si="6">SUM(J10:J35)</f>
        <v>1817.5451612903228</v>
      </c>
      <c r="K36" s="73">
        <f t="shared" si="6"/>
        <v>37.771528934644181</v>
      </c>
      <c r="L36" s="74">
        <f t="shared" si="6"/>
        <v>114.58230067736173</v>
      </c>
      <c r="M36" s="74">
        <f t="shared" si="6"/>
        <v>-1849.5300000000007</v>
      </c>
      <c r="N36" s="73">
        <f>SUM(N10:N35)</f>
        <v>1210.4127394953634</v>
      </c>
      <c r="O36" s="75">
        <f t="shared" si="6"/>
        <v>3431.2635956532831</v>
      </c>
    </row>
    <row r="37" spans="1:15" ht="6" customHeight="1" x14ac:dyDescent="0.2"/>
    <row r="38" spans="1:15" ht="13.5" thickBot="1" x14ac:dyDescent="0.25"/>
    <row r="39" spans="1:15" ht="15.75" x14ac:dyDescent="0.3">
      <c r="J39" s="88"/>
      <c r="K39" s="89" t="s">
        <v>83</v>
      </c>
      <c r="L39" s="90"/>
      <c r="M39" s="91"/>
      <c r="N39" s="92">
        <f>(M36+N36)/J36</f>
        <v>-0.35163762316140257</v>
      </c>
      <c r="O39" s="136" t="s">
        <v>192</v>
      </c>
    </row>
    <row r="40" spans="1:15" ht="16.5" thickBot="1" x14ac:dyDescent="0.35">
      <c r="J40" s="93"/>
      <c r="K40" s="94" t="s">
        <v>84</v>
      </c>
      <c r="L40" s="95"/>
      <c r="M40" s="96"/>
      <c r="N40" s="97">
        <f>(O36)/J36</f>
        <v>1.8878560317133135</v>
      </c>
      <c r="O40" s="137" t="s">
        <v>2</v>
      </c>
    </row>
    <row r="41" spans="1:15" ht="15.75" x14ac:dyDescent="0.3">
      <c r="A41" s="105" t="s">
        <v>85</v>
      </c>
      <c r="B41" s="106" t="s">
        <v>176</v>
      </c>
      <c r="C41" s="106" t="s">
        <v>177</v>
      </c>
      <c r="D41" s="106" t="s">
        <v>175</v>
      </c>
      <c r="E41" s="107" t="s">
        <v>86</v>
      </c>
      <c r="J41" s="93"/>
      <c r="K41" s="94" t="s">
        <v>87</v>
      </c>
      <c r="L41" s="95"/>
      <c r="M41" s="96"/>
      <c r="N41" s="97">
        <f>SQRT(N39^2+N40^2)</f>
        <v>1.9203253407948717</v>
      </c>
      <c r="O41" s="137" t="s">
        <v>2</v>
      </c>
    </row>
    <row r="42" spans="1:15" x14ac:dyDescent="0.2">
      <c r="A42" s="108"/>
      <c r="B42" s="95" t="s">
        <v>2</v>
      </c>
      <c r="C42" s="95" t="s">
        <v>41</v>
      </c>
      <c r="D42" s="134" t="s">
        <v>64</v>
      </c>
      <c r="E42" s="135" t="s">
        <v>63</v>
      </c>
      <c r="J42" s="93"/>
      <c r="K42" s="94"/>
      <c r="L42" s="95"/>
      <c r="M42" s="96"/>
      <c r="N42" s="97"/>
      <c r="O42" s="137"/>
    </row>
    <row r="43" spans="1:15" x14ac:dyDescent="0.2">
      <c r="A43" s="108" t="s">
        <v>27</v>
      </c>
      <c r="B43" s="95">
        <f>'Kraan en situatie gegevens'!O18</f>
        <v>12</v>
      </c>
      <c r="C43" s="95">
        <f>(B45/(B43*B44)/1000)*10</f>
        <v>3.8306451612903225</v>
      </c>
      <c r="D43" s="95">
        <f>'Kraan en situatie gegevens'!O2*'Kraan en situatie gegevens'!O3</f>
        <v>17</v>
      </c>
      <c r="E43" s="109">
        <f>D43*C43</f>
        <v>65.120967741935488</v>
      </c>
      <c r="J43" s="93"/>
      <c r="K43" s="98" t="s">
        <v>88</v>
      </c>
      <c r="L43" s="95"/>
      <c r="M43" s="96"/>
      <c r="N43" s="97">
        <f>SQRT(K36^2+L36^2)</f>
        <v>120.64738715188984</v>
      </c>
      <c r="O43" s="137" t="s">
        <v>63</v>
      </c>
    </row>
    <row r="44" spans="1:15" ht="13.5" thickBot="1" x14ac:dyDescent="0.25">
      <c r="A44" s="108" t="s">
        <v>28</v>
      </c>
      <c r="B44" s="95">
        <f>'Kraan en situatie gegevens'!O19</f>
        <v>1.24</v>
      </c>
      <c r="C44" s="95"/>
      <c r="D44" s="95"/>
      <c r="E44" s="109"/>
      <c r="J44" s="99"/>
      <c r="K44" s="100" t="s">
        <v>89</v>
      </c>
      <c r="L44" s="101"/>
      <c r="M44" s="102"/>
      <c r="N44" s="103">
        <f>SQRT(M36^2+(SQRT(N36^2+O36^2))^2)</f>
        <v>4081.5965116224029</v>
      </c>
      <c r="O44" s="137" t="s">
        <v>66</v>
      </c>
    </row>
    <row r="45" spans="1:15" ht="13.5" thickBot="1" x14ac:dyDescent="0.25">
      <c r="A45" s="110" t="s">
        <v>29</v>
      </c>
      <c r="B45" s="111">
        <f>'Kraan en situatie gegevens'!O21</f>
        <v>5700</v>
      </c>
      <c r="C45" s="111"/>
      <c r="D45" s="111"/>
      <c r="E45" s="112"/>
      <c r="J45" s="85" t="s">
        <v>90</v>
      </c>
      <c r="K45" s="74"/>
      <c r="L45" s="74"/>
      <c r="M45" s="86"/>
      <c r="N45" s="87">
        <f>DEGREES(ATAN(N40/N39))</f>
        <v>-79.448830919634204</v>
      </c>
      <c r="O45" s="171" t="s">
        <v>193</v>
      </c>
    </row>
    <row r="46" spans="1:15" x14ac:dyDescent="0.2">
      <c r="N46" s="173">
        <f>N45+90</f>
        <v>10.551169080365796</v>
      </c>
    </row>
    <row r="47" spans="1:15" x14ac:dyDescent="0.2">
      <c r="M47" t="s">
        <v>195</v>
      </c>
      <c r="N47" s="173">
        <f>N44/J36</f>
        <v>2.245664426145412</v>
      </c>
    </row>
    <row r="48" spans="1:15" x14ac:dyDescent="0.2">
      <c r="N48" s="173"/>
    </row>
  </sheetData>
  <pageMargins left="0.75" right="0.75" top="1" bottom="1" header="0.5" footer="0.5"/>
  <pageSetup paperSize="9" scale="72"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44"/>
  <sheetViews>
    <sheetView workbookViewId="0">
      <selection activeCell="F33" sqref="F33"/>
    </sheetView>
  </sheetViews>
  <sheetFormatPr defaultRowHeight="12.75" x14ac:dyDescent="0.2"/>
  <cols>
    <col min="1" max="1" width="24.28515625" bestFit="1" customWidth="1"/>
    <col min="2" max="2" width="12" bestFit="1" customWidth="1"/>
    <col min="3" max="3" width="6.140625" customWidth="1"/>
    <col min="4" max="4" width="12.85546875" customWidth="1"/>
    <col min="10" max="10" width="13.28515625" customWidth="1"/>
    <col min="13" max="13" width="6.85546875" customWidth="1"/>
    <col min="14" max="14" width="11.140625" customWidth="1"/>
    <col min="15" max="15" width="17.7109375" bestFit="1" customWidth="1"/>
    <col min="16" max="88" width="9.5703125" bestFit="1" customWidth="1"/>
  </cols>
  <sheetData>
    <row r="1" spans="1:88" ht="13.5" thickBot="1" x14ac:dyDescent="0.25">
      <c r="A1" s="77"/>
      <c r="B1">
        <v>7</v>
      </c>
    </row>
    <row r="2" spans="1:88" s="248" customFormat="1" ht="13.5" thickBot="1" x14ac:dyDescent="0.25">
      <c r="A2" s="169" t="s">
        <v>91</v>
      </c>
      <c r="B2" s="170">
        <v>90</v>
      </c>
      <c r="C2" s="124" t="s">
        <v>426</v>
      </c>
      <c r="D2" s="124"/>
      <c r="E2" s="124"/>
      <c r="O2" s="247"/>
    </row>
    <row r="3" spans="1:88" s="248" customFormat="1" x14ac:dyDescent="0.2">
      <c r="A3" s="157" t="s">
        <v>92</v>
      </c>
      <c r="B3" s="155">
        <f>B2</f>
        <v>90</v>
      </c>
      <c r="C3" s="158" t="s">
        <v>193</v>
      </c>
      <c r="D3" s="105" t="s">
        <v>93</v>
      </c>
      <c r="E3" s="155">
        <f>COS(B3*PI()/180)*'Tabel C1 belastingen'!N41</f>
        <v>1.1763418120983531E-16</v>
      </c>
      <c r="F3" s="158" t="s">
        <v>192</v>
      </c>
      <c r="G3"/>
      <c r="H3"/>
      <c r="I3"/>
      <c r="J3"/>
      <c r="K3"/>
      <c r="L3"/>
      <c r="M3"/>
      <c r="N3"/>
    </row>
    <row r="4" spans="1:88" s="248" customFormat="1" x14ac:dyDescent="0.2">
      <c r="A4" s="152" t="s">
        <v>94</v>
      </c>
      <c r="B4" s="145">
        <f>'Tabel C1 belastingen'!J36</f>
        <v>1817.5451612903228</v>
      </c>
      <c r="C4" s="159" t="s">
        <v>63</v>
      </c>
      <c r="D4" s="108" t="s">
        <v>95</v>
      </c>
      <c r="E4" s="141">
        <f>SIN(B3*PI()/180)*'Tabel C1 belastingen'!N41</f>
        <v>1.9203253407948717</v>
      </c>
      <c r="F4" s="159" t="s">
        <v>192</v>
      </c>
      <c r="G4"/>
      <c r="H4"/>
      <c r="I4" s="252"/>
      <c r="J4" s="252"/>
      <c r="K4" s="252"/>
      <c r="L4" s="253"/>
      <c r="M4" s="216"/>
      <c r="N4" s="216"/>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row>
    <row r="5" spans="1:88" s="248" customFormat="1" ht="13.5" thickBot="1" x14ac:dyDescent="0.25">
      <c r="A5" s="166" t="s">
        <v>96</v>
      </c>
      <c r="B5" s="246">
        <f>B4/2</f>
        <v>908.77258064516138</v>
      </c>
      <c r="C5" s="167" t="s">
        <v>63</v>
      </c>
      <c r="D5" s="110"/>
      <c r="E5" s="164"/>
      <c r="F5" s="165"/>
      <c r="G5"/>
      <c r="H5"/>
      <c r="I5" s="252"/>
      <c r="J5" s="252"/>
      <c r="K5" s="252"/>
      <c r="L5" s="252"/>
      <c r="M5" s="216"/>
      <c r="N5" s="216"/>
      <c r="O5" s="250"/>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row>
    <row r="6" spans="1:88" s="248" customFormat="1" x14ac:dyDescent="0.2">
      <c r="A6" s="152"/>
      <c r="B6" s="96"/>
      <c r="C6" s="159"/>
      <c r="D6" t="s">
        <v>195</v>
      </c>
      <c r="E6">
        <f>SQRT((E3^2)+(E4^2))</f>
        <v>1.9203253407948717</v>
      </c>
      <c r="F6"/>
      <c r="G6"/>
      <c r="H6"/>
      <c r="I6" s="216"/>
      <c r="J6" s="216"/>
      <c r="K6" s="216"/>
      <c r="L6" s="253"/>
      <c r="M6" s="216"/>
      <c r="N6" s="216"/>
    </row>
    <row r="7" spans="1:88" s="248" customFormat="1" x14ac:dyDescent="0.2">
      <c r="A7" s="160" t="s">
        <v>97</v>
      </c>
      <c r="B7" s="96"/>
      <c r="C7" s="159"/>
      <c r="D7" s="96" t="s">
        <v>427</v>
      </c>
      <c r="E7">
        <f>COS(B3*PI()/180)</f>
        <v>6.1257422745431001E-17</v>
      </c>
      <c r="F7"/>
      <c r="K7" s="216"/>
      <c r="L7" s="252"/>
      <c r="M7" s="216"/>
      <c r="N7" s="216"/>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249"/>
      <c r="BU7" s="249"/>
      <c r="BV7" s="249"/>
      <c r="BW7" s="249"/>
      <c r="BX7" s="249"/>
      <c r="BY7" s="249"/>
      <c r="BZ7" s="249"/>
      <c r="CA7" s="249"/>
      <c r="CB7" s="249"/>
      <c r="CC7" s="249"/>
      <c r="CD7" s="249"/>
      <c r="CE7" s="249"/>
      <c r="CF7" s="249"/>
      <c r="CG7" s="249"/>
      <c r="CH7" s="249"/>
      <c r="CI7" s="249"/>
      <c r="CJ7" s="249"/>
    </row>
    <row r="8" spans="1:88" s="248" customFormat="1" x14ac:dyDescent="0.2">
      <c r="A8" s="152" t="s">
        <v>171</v>
      </c>
      <c r="B8" s="96">
        <f>'Kraan en situatie gegevens'!O4/1000</f>
        <v>0.9</v>
      </c>
      <c r="C8" s="156" t="s">
        <v>192</v>
      </c>
      <c r="D8" s="96" t="s">
        <v>429</v>
      </c>
      <c r="E8">
        <f>SIN(B3*PI()/180)</f>
        <v>1</v>
      </c>
      <c r="F8"/>
      <c r="G8"/>
      <c r="H8"/>
      <c r="I8" s="216"/>
      <c r="J8" s="216"/>
      <c r="K8" s="216"/>
      <c r="L8" s="253"/>
      <c r="M8" s="216"/>
      <c r="N8" s="216"/>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K8" s="249"/>
      <c r="BL8" s="249"/>
      <c r="BM8" s="249"/>
      <c r="BN8" s="249"/>
      <c r="BO8" s="249"/>
      <c r="BP8" s="249"/>
      <c r="BQ8" s="249"/>
      <c r="BR8" s="249"/>
      <c r="BS8" s="249"/>
      <c r="BT8" s="249"/>
      <c r="BU8" s="249"/>
      <c r="BV8" s="249"/>
      <c r="BW8" s="249"/>
      <c r="BX8" s="249"/>
      <c r="BY8" s="249"/>
      <c r="BZ8" s="249"/>
      <c r="CA8" s="249"/>
      <c r="CB8" s="249"/>
      <c r="CC8" s="249"/>
      <c r="CD8" s="249"/>
      <c r="CE8" s="249"/>
      <c r="CF8" s="249"/>
      <c r="CG8" s="249"/>
      <c r="CH8" s="249"/>
      <c r="CI8" s="249"/>
      <c r="CJ8" s="249"/>
    </row>
    <row r="9" spans="1:88" s="248" customFormat="1" x14ac:dyDescent="0.2">
      <c r="A9" s="152" t="s">
        <v>172</v>
      </c>
      <c r="B9" s="96">
        <f>'Kraan en situatie gegevens'!O3</f>
        <v>4.25</v>
      </c>
      <c r="C9" s="156" t="s">
        <v>2</v>
      </c>
      <c r="D9"/>
      <c r="E9"/>
      <c r="F9"/>
      <c r="G9"/>
      <c r="H9"/>
      <c r="I9" s="216"/>
      <c r="J9" s="216"/>
      <c r="K9" s="216"/>
      <c r="L9" s="252"/>
      <c r="M9" s="216"/>
      <c r="N9" s="216"/>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K9" s="249"/>
      <c r="BL9" s="249"/>
      <c r="BM9" s="249"/>
      <c r="BN9" s="249"/>
      <c r="BO9" s="249"/>
      <c r="BP9" s="249"/>
      <c r="BQ9" s="249"/>
      <c r="BR9" s="249"/>
      <c r="BS9" s="249"/>
      <c r="BT9" s="249"/>
      <c r="BU9" s="249"/>
      <c r="BV9" s="249"/>
      <c r="BW9" s="249"/>
      <c r="BX9" s="249"/>
      <c r="BY9" s="249"/>
      <c r="BZ9" s="249"/>
      <c r="CA9" s="249"/>
      <c r="CB9" s="249"/>
      <c r="CC9" s="249"/>
      <c r="CD9" s="249"/>
      <c r="CE9" s="249"/>
      <c r="CF9" s="249"/>
      <c r="CG9" s="249"/>
      <c r="CH9" s="249"/>
      <c r="CI9" s="249"/>
      <c r="CJ9" s="249"/>
    </row>
    <row r="10" spans="1:88" s="248" customFormat="1" x14ac:dyDescent="0.2">
      <c r="A10" s="152" t="s">
        <v>99</v>
      </c>
      <c r="B10" s="96">
        <f>'Kraan en situatie gegevens'!O2</f>
        <v>4</v>
      </c>
      <c r="C10" s="156" t="s">
        <v>2</v>
      </c>
      <c r="J10"/>
      <c r="K10"/>
      <c r="L10"/>
      <c r="M10"/>
      <c r="N10"/>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c r="BP10" s="249"/>
      <c r="BQ10" s="249"/>
      <c r="BR10" s="249"/>
      <c r="BS10" s="249"/>
      <c r="BT10" s="249"/>
      <c r="BU10" s="249"/>
      <c r="BV10" s="249"/>
      <c r="BW10" s="249"/>
      <c r="BX10" s="249"/>
      <c r="BY10" s="249"/>
      <c r="BZ10" s="249"/>
      <c r="CA10" s="249"/>
      <c r="CB10" s="249"/>
      <c r="CC10" s="249"/>
      <c r="CD10" s="249"/>
      <c r="CE10" s="249"/>
      <c r="CF10" s="249"/>
      <c r="CG10" s="249"/>
      <c r="CH10" s="249"/>
      <c r="CI10" s="249"/>
      <c r="CJ10" s="249"/>
    </row>
    <row r="11" spans="1:88" s="248" customFormat="1" x14ac:dyDescent="0.2">
      <c r="A11" s="152" t="s">
        <v>101</v>
      </c>
      <c r="B11" s="141">
        <f>IF((B9/2-E3)&lt;B9/2,B9/2-E3,B9/2-(E3*-1))*2</f>
        <v>4.25</v>
      </c>
      <c r="C11" s="156" t="s">
        <v>2</v>
      </c>
      <c r="J11"/>
      <c r="K11"/>
      <c r="L11"/>
      <c r="M11"/>
      <c r="N11"/>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49"/>
      <c r="BJ11" s="249"/>
      <c r="BK11" s="249"/>
      <c r="BL11" s="249"/>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249"/>
      <c r="CI11" s="249"/>
      <c r="CJ11" s="249"/>
    </row>
    <row r="12" spans="1:88" s="248" customFormat="1" x14ac:dyDescent="0.2">
      <c r="A12" s="256" t="s">
        <v>431</v>
      </c>
      <c r="B12" s="141">
        <f>'Kraan en situatie gegevens'!D9</f>
        <v>1.25</v>
      </c>
      <c r="C12" s="257" t="s">
        <v>2</v>
      </c>
      <c r="J12"/>
      <c r="K12"/>
      <c r="L12"/>
      <c r="M12"/>
      <c r="N12"/>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row>
    <row r="13" spans="1:88" s="248" customFormat="1" x14ac:dyDescent="0.2">
      <c r="A13" s="256" t="s">
        <v>432</v>
      </c>
      <c r="B13" s="141">
        <f>'Kraan en situatie gegevens'!O18</f>
        <v>12</v>
      </c>
      <c r="C13" s="257" t="s">
        <v>2</v>
      </c>
      <c r="D13"/>
      <c r="E13"/>
      <c r="F13"/>
      <c r="G13"/>
      <c r="H13"/>
      <c r="I13"/>
      <c r="J13"/>
      <c r="K13"/>
      <c r="L13"/>
      <c r="M13"/>
      <c r="N13"/>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row>
    <row r="14" spans="1:88" s="248" customFormat="1" x14ac:dyDescent="0.2">
      <c r="A14" s="254" t="s">
        <v>434</v>
      </c>
      <c r="B14" s="259">
        <f>'Kraan en situatie gegevens'!O19</f>
        <v>1.24</v>
      </c>
      <c r="C14" s="255" t="s">
        <v>2</v>
      </c>
      <c r="D14" s="260" t="s">
        <v>632</v>
      </c>
      <c r="E14"/>
      <c r="F14"/>
      <c r="G14"/>
      <c r="H14"/>
      <c r="I14"/>
      <c r="J14"/>
      <c r="K14"/>
      <c r="L14"/>
      <c r="M14"/>
      <c r="N14"/>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249"/>
      <c r="CI14" s="249"/>
      <c r="CJ14" s="249"/>
    </row>
    <row r="15" spans="1:88" s="248" customFormat="1" x14ac:dyDescent="0.2">
      <c r="A15" s="256"/>
      <c r="B15" s="394"/>
      <c r="C15" s="257"/>
      <c r="D15" s="260"/>
      <c r="E15"/>
      <c r="F15"/>
      <c r="G15"/>
      <c r="H15"/>
      <c r="I15"/>
      <c r="J15"/>
      <c r="K15"/>
      <c r="L15"/>
      <c r="M15"/>
      <c r="N15"/>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249"/>
      <c r="CI15" s="249"/>
      <c r="CJ15" s="249"/>
    </row>
    <row r="16" spans="1:88" s="248" customFormat="1" x14ac:dyDescent="0.2">
      <c r="A16" s="395" t="s">
        <v>633</v>
      </c>
      <c r="B16" s="394"/>
      <c r="C16" s="257"/>
      <c r="D16" s="260"/>
      <c r="E16"/>
      <c r="F16"/>
      <c r="G16"/>
      <c r="H16"/>
      <c r="I16"/>
      <c r="J16"/>
      <c r="K16"/>
      <c r="L16"/>
      <c r="M16"/>
      <c r="N16"/>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row>
    <row r="17" spans="1:88" s="248" customFormat="1" x14ac:dyDescent="0.2">
      <c r="A17" s="152"/>
      <c r="B17" s="141"/>
      <c r="C17" s="159"/>
      <c r="D17"/>
      <c r="E17"/>
      <c r="F17"/>
      <c r="G17"/>
      <c r="H17"/>
      <c r="I17"/>
      <c r="J17"/>
      <c r="K17"/>
      <c r="L17"/>
      <c r="M17"/>
      <c r="N17"/>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row>
    <row r="18" spans="1:88" x14ac:dyDescent="0.2">
      <c r="A18" s="160" t="s">
        <v>103</v>
      </c>
      <c r="B18" s="141">
        <f>B19*B8</f>
        <v>0.55262157985384641</v>
      </c>
      <c r="C18" s="159" t="s">
        <v>64</v>
      </c>
    </row>
    <row r="19" spans="1:88" x14ac:dyDescent="0.2">
      <c r="A19" s="152" t="s">
        <v>104</v>
      </c>
      <c r="B19" s="141">
        <f>IF(E4&gt;B9/6,3*B23,B9)</f>
        <v>0.61402397761538485</v>
      </c>
      <c r="C19" s="156" t="s">
        <v>2</v>
      </c>
    </row>
    <row r="20" spans="1:88" x14ac:dyDescent="0.2">
      <c r="A20" s="152"/>
      <c r="B20" s="96"/>
      <c r="C20" s="159"/>
    </row>
    <row r="21" spans="1:88" x14ac:dyDescent="0.2">
      <c r="A21" s="160" t="s">
        <v>105</v>
      </c>
      <c r="B21" s="96"/>
      <c r="C21" s="159"/>
      <c r="O21" s="77"/>
    </row>
    <row r="22" spans="1:88" x14ac:dyDescent="0.2">
      <c r="A22" s="160" t="s">
        <v>106</v>
      </c>
      <c r="B22" s="96">
        <f>IF(E4=0,1,IF(E4&lt;B9/6,2,IF(E4=B9/6,3,IF(E4=B9/3,5,4))))</f>
        <v>4</v>
      </c>
      <c r="C22" s="159" t="s">
        <v>173</v>
      </c>
    </row>
    <row r="23" spans="1:88" x14ac:dyDescent="0.2">
      <c r="A23" s="160" t="s">
        <v>107</v>
      </c>
      <c r="B23" s="141">
        <f>IF(B22=4,(B9/2)-E4,IF(B22=5,B9/6,0))</f>
        <v>0.20467465920512828</v>
      </c>
      <c r="C23" s="156" t="s">
        <v>2</v>
      </c>
    </row>
    <row r="24" spans="1:88" ht="21" x14ac:dyDescent="0.35">
      <c r="A24" s="161" t="s">
        <v>149</v>
      </c>
      <c r="B24" s="141">
        <f>IF(B22=1,B5/(B8*B9),IF(B22=2,(B5/(B8*B9))*(1-((6*E4)/B9)),IF(B22=3,0,IF(B22=4,2*B5/3*B23*B8,IF(B22=5,4*B5/B8*B9,"fout")))))</f>
        <v>111.60163094310802</v>
      </c>
      <c r="C24" s="159" t="s">
        <v>41</v>
      </c>
      <c r="D24" s="76" t="s">
        <v>148</v>
      </c>
    </row>
    <row r="25" spans="1:88" ht="21" x14ac:dyDescent="0.35">
      <c r="A25" s="168" t="s">
        <v>108</v>
      </c>
      <c r="B25" s="154">
        <f>IF(B22=2,(B5/B8*B9)*(1+(6*E4/B9)),IF(B22=3,2*B5/B8*B9,0))</f>
        <v>0</v>
      </c>
      <c r="C25" s="167" t="s">
        <v>41</v>
      </c>
      <c r="D25" s="76" t="s">
        <v>148</v>
      </c>
    </row>
    <row r="26" spans="1:88" x14ac:dyDescent="0.2">
      <c r="A26" s="152"/>
      <c r="B26" s="96"/>
      <c r="C26" s="159"/>
    </row>
    <row r="27" spans="1:88" x14ac:dyDescent="0.2">
      <c r="A27" s="160" t="s">
        <v>109</v>
      </c>
      <c r="B27" s="141">
        <f>IF(B10/2-E4&lt;0,"fout",IF(B10/2+E4&gt;B10,"fout",B10/2-E4))</f>
        <v>7.9674659205128284E-2</v>
      </c>
      <c r="C27" s="156" t="s">
        <v>192</v>
      </c>
    </row>
    <row r="28" spans="1:88" x14ac:dyDescent="0.2">
      <c r="A28" s="160" t="s">
        <v>110</v>
      </c>
      <c r="B28" s="141">
        <f>B10/2+E4</f>
        <v>3.9203253407948715</v>
      </c>
      <c r="C28" s="156" t="s">
        <v>2</v>
      </c>
    </row>
    <row r="29" spans="1:88" x14ac:dyDescent="0.2">
      <c r="A29" s="160" t="s">
        <v>194</v>
      </c>
      <c r="B29" s="96">
        <f>B27+B28</f>
        <v>4</v>
      </c>
      <c r="C29" s="156" t="s">
        <v>2</v>
      </c>
    </row>
    <row r="30" spans="1:88" x14ac:dyDescent="0.2">
      <c r="A30" s="152"/>
      <c r="B30" s="96"/>
      <c r="C30" s="159"/>
    </row>
    <row r="31" spans="1:88" x14ac:dyDescent="0.2">
      <c r="A31" s="152" t="s">
        <v>111</v>
      </c>
      <c r="B31" s="141">
        <f>B5*2*B28/B10</f>
        <v>1781.3420884613886</v>
      </c>
      <c r="C31" s="159" t="s">
        <v>63</v>
      </c>
    </row>
    <row r="32" spans="1:88" x14ac:dyDescent="0.2">
      <c r="A32" s="152" t="s">
        <v>112</v>
      </c>
      <c r="B32" s="141">
        <f>B5*2*B27/B10</f>
        <v>36.203072828934097</v>
      </c>
      <c r="C32" s="159" t="s">
        <v>63</v>
      </c>
    </row>
    <row r="33" spans="1:11" x14ac:dyDescent="0.2">
      <c r="A33" s="152"/>
      <c r="B33" s="96"/>
      <c r="C33" s="159"/>
    </row>
    <row r="34" spans="1:11" ht="21" x14ac:dyDescent="0.35">
      <c r="A34" s="161" t="s">
        <v>113</v>
      </c>
      <c r="B34" s="141">
        <f>B31/(B11*2*B8)</f>
        <v>232.855174962273</v>
      </c>
      <c r="C34" s="159" t="s">
        <v>41</v>
      </c>
      <c r="D34" s="76" t="s">
        <v>151</v>
      </c>
    </row>
    <row r="35" spans="1:11" ht="21.75" thickBot="1" x14ac:dyDescent="0.4">
      <c r="A35" s="161" t="s">
        <v>114</v>
      </c>
      <c r="B35" s="141">
        <f>B32/(B11*2*B8)</f>
        <v>4.7324278207756985</v>
      </c>
      <c r="C35" s="159" t="s">
        <v>41</v>
      </c>
      <c r="D35" s="76" t="s">
        <v>150</v>
      </c>
    </row>
    <row r="36" spans="1:11" ht="13.5" thickBot="1" x14ac:dyDescent="0.25">
      <c r="A36" s="132" t="s">
        <v>115</v>
      </c>
      <c r="B36" s="131">
        <f>LARGE(B34:B35,1)</f>
        <v>232.855174962273</v>
      </c>
      <c r="C36" s="133" t="s">
        <v>41</v>
      </c>
    </row>
    <row r="38" spans="1:11" ht="13.5" thickBot="1" x14ac:dyDescent="0.25">
      <c r="A38" s="77" t="s">
        <v>116</v>
      </c>
      <c r="G38" t="s">
        <v>430</v>
      </c>
      <c r="H38" s="216">
        <f>IF((B13/2)-(B10/2+B8/2+B12)&lt;0,0,(B13/2)-(B10/2+B8/2+B12))</f>
        <v>2.2999999999999998</v>
      </c>
      <c r="I38" s="245" t="s">
        <v>2</v>
      </c>
    </row>
    <row r="39" spans="1:11" x14ac:dyDescent="0.2">
      <c r="A39" s="162" t="s">
        <v>174</v>
      </c>
      <c r="B39" s="91">
        <f>'Kraan en situatie gegevens'!D9</f>
        <v>1.25</v>
      </c>
      <c r="C39" s="158" t="s">
        <v>192</v>
      </c>
    </row>
    <row r="40" spans="1:11" x14ac:dyDescent="0.2">
      <c r="A40" s="152" t="s">
        <v>117</v>
      </c>
      <c r="B40" s="96">
        <f>B39+(B10+B8)/2</f>
        <v>3.7</v>
      </c>
      <c r="C40" s="159" t="s">
        <v>2</v>
      </c>
      <c r="D40" t="s">
        <v>428</v>
      </c>
      <c r="E40" s="173">
        <f>IF(B9-2*E6*E7&lt;B14,B14,B9-2*E6*E7)</f>
        <v>4.25</v>
      </c>
      <c r="F40" s="258" t="s">
        <v>192</v>
      </c>
      <c r="G40" s="245" t="s">
        <v>477</v>
      </c>
      <c r="K40" s="260" t="s">
        <v>632</v>
      </c>
    </row>
    <row r="41" spans="1:11" x14ac:dyDescent="0.2">
      <c r="A41" s="152" t="s">
        <v>118</v>
      </c>
      <c r="B41" s="141">
        <f>(IF(B40-E4&gt;('Kraan en situatie gegevens'!O18/2),'Kraan en situatie gegevens'!O18/2,B40-E4))*2</f>
        <v>3.5593493184102569</v>
      </c>
      <c r="C41" s="159" t="s">
        <v>2</v>
      </c>
      <c r="D41" t="s">
        <v>98</v>
      </c>
      <c r="E41" s="173">
        <f>B13-2*H38-2*E6*E8</f>
        <v>3.5593493184102569</v>
      </c>
      <c r="F41" s="258" t="s">
        <v>192</v>
      </c>
      <c r="G41" t="s">
        <v>529</v>
      </c>
    </row>
    <row r="42" spans="1:11" x14ac:dyDescent="0.2">
      <c r="A42" s="152" t="s">
        <v>119</v>
      </c>
      <c r="B42" s="141">
        <f>B41*E40</f>
        <v>15.127234603243592</v>
      </c>
      <c r="C42" s="159" t="s">
        <v>64</v>
      </c>
      <c r="D42" s="258" t="s">
        <v>100</v>
      </c>
      <c r="E42" s="173">
        <f>E40*E41</f>
        <v>15.127234603243592</v>
      </c>
      <c r="F42" s="258" t="s">
        <v>433</v>
      </c>
      <c r="G42" s="326"/>
    </row>
    <row r="43" spans="1:11" ht="13.5" thickBot="1" x14ac:dyDescent="0.25">
      <c r="A43" s="163"/>
      <c r="B43" s="164"/>
      <c r="C43" s="165"/>
    </row>
    <row r="44" spans="1:11" ht="21.75" thickBot="1" x14ac:dyDescent="0.4">
      <c r="A44" s="130" t="s">
        <v>102</v>
      </c>
      <c r="B44" s="131">
        <f>B4/B42</f>
        <v>120.15052380430483</v>
      </c>
      <c r="C44" s="104" t="s">
        <v>41</v>
      </c>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view="pageBreakPreview" zoomScaleNormal="100" zoomScaleSheetLayoutView="100" workbookViewId="0">
      <selection activeCell="J32" sqref="J32"/>
    </sheetView>
  </sheetViews>
  <sheetFormatPr defaultRowHeight="12.75" x14ac:dyDescent="0.2"/>
  <cols>
    <col min="1" max="1" width="35.42578125" bestFit="1" customWidth="1"/>
    <col min="2" max="2" width="10.140625" bestFit="1" customWidth="1"/>
    <col min="3" max="3" width="9.140625" style="1"/>
    <col min="4" max="4" width="6" bestFit="1" customWidth="1"/>
  </cols>
  <sheetData>
    <row r="1" spans="1:4" x14ac:dyDescent="0.2">
      <c r="A1" s="77" t="s">
        <v>146</v>
      </c>
    </row>
    <row r="2" spans="1:4" ht="15.75" x14ac:dyDescent="0.3">
      <c r="A2" s="81" t="s">
        <v>83</v>
      </c>
      <c r="B2" s="82">
        <f>'Tabel C1 belastingen'!N39</f>
        <v>-0.35163762316140257</v>
      </c>
    </row>
    <row r="3" spans="1:4" ht="15.75" x14ac:dyDescent="0.3">
      <c r="A3" s="81" t="s">
        <v>84</v>
      </c>
      <c r="B3" s="82">
        <f>'Tabel C1 belastingen'!N40</f>
        <v>1.8878560317133135</v>
      </c>
    </row>
    <row r="4" spans="1:4" ht="15.75" x14ac:dyDescent="0.3">
      <c r="A4" s="81" t="s">
        <v>87</v>
      </c>
      <c r="B4" s="82">
        <f>'Tabel C1 belastingen'!N41</f>
        <v>1.9203253407948717</v>
      </c>
    </row>
    <row r="6" spans="1:4" x14ac:dyDescent="0.2">
      <c r="A6" s="79" t="s">
        <v>120</v>
      </c>
      <c r="B6" s="80">
        <v>2250</v>
      </c>
      <c r="C6" s="83">
        <f>'Tabel C1 belastingen'!J36</f>
        <v>1817.5451612903228</v>
      </c>
      <c r="D6" s="80" t="s">
        <v>63</v>
      </c>
    </row>
    <row r="7" spans="1:4" ht="15.75" x14ac:dyDescent="0.3">
      <c r="A7" s="79" t="s">
        <v>121</v>
      </c>
      <c r="B7" s="80" t="s">
        <v>122</v>
      </c>
      <c r="C7" s="83">
        <f>SQRT(('Tabel C1 belastingen'!K36)^2+('Tabel C1 belastingen'!L36)^2 )</f>
        <v>120.64738715188984</v>
      </c>
      <c r="D7" s="80" t="s">
        <v>63</v>
      </c>
    </row>
    <row r="8" spans="1:4" ht="15.75" x14ac:dyDescent="0.3">
      <c r="A8" s="79" t="s">
        <v>123</v>
      </c>
      <c r="B8" s="80" t="s">
        <v>124</v>
      </c>
      <c r="C8" s="83">
        <f>SQRT(('Tabel C1 belastingen'!M36)^2+('Tabel C1 belastingen'!N36)^2+('Tabel C1 belastingen'!O36)^2)</f>
        <v>4081.5965116224029</v>
      </c>
      <c r="D8" s="80" t="s">
        <v>66</v>
      </c>
    </row>
    <row r="9" spans="1:4" ht="15.75" x14ac:dyDescent="0.3">
      <c r="A9" s="79" t="s">
        <v>125</v>
      </c>
      <c r="B9" s="80" t="s">
        <v>126</v>
      </c>
      <c r="C9" s="84">
        <f>C8/C6</f>
        <v>2.245664426145412</v>
      </c>
      <c r="D9" s="80" t="s">
        <v>2</v>
      </c>
    </row>
    <row r="10" spans="1:4" ht="15.75" x14ac:dyDescent="0.3">
      <c r="A10" s="79" t="s">
        <v>127</v>
      </c>
      <c r="B10" s="79" t="s">
        <v>128</v>
      </c>
      <c r="C10" s="172">
        <f>DEGREES(ATAN('Tabel C1 belastingen'!O36/'Tabel C1 belastingen'!N36))</f>
        <v>70.569193614060936</v>
      </c>
      <c r="D10" s="79" t="s">
        <v>193</v>
      </c>
    </row>
    <row r="11" spans="1:4" ht="15.75" x14ac:dyDescent="0.3">
      <c r="A11" s="79" t="s">
        <v>129</v>
      </c>
      <c r="B11" s="79" t="s">
        <v>130</v>
      </c>
      <c r="C11" s="172">
        <f>Funderingsoppervlak!B3</f>
        <v>90</v>
      </c>
      <c r="D11" s="79" t="s">
        <v>193</v>
      </c>
    </row>
    <row r="12" spans="1:4" ht="15.75" x14ac:dyDescent="0.3">
      <c r="A12" s="79" t="s">
        <v>131</v>
      </c>
      <c r="B12" s="79" t="s">
        <v>132</v>
      </c>
      <c r="C12" s="79">
        <f>Funderingsoppervlak!B2</f>
        <v>90</v>
      </c>
      <c r="D12" s="79" t="s">
        <v>193</v>
      </c>
    </row>
    <row r="13" spans="1:4" x14ac:dyDescent="0.2">
      <c r="A13" s="79" t="s">
        <v>133</v>
      </c>
      <c r="B13" s="79" t="s">
        <v>134</v>
      </c>
      <c r="C13" s="78">
        <f>MAX(Funderingsoppervlak!E40:E41)</f>
        <v>4.25</v>
      </c>
      <c r="D13" s="79" t="s">
        <v>2</v>
      </c>
    </row>
    <row r="14" spans="1:4" x14ac:dyDescent="0.2">
      <c r="A14" s="79" t="s">
        <v>135</v>
      </c>
      <c r="B14" s="79" t="s">
        <v>136</v>
      </c>
      <c r="C14" s="78">
        <f>MIN(Funderingsoppervlak!E40:E41)</f>
        <v>3.5593493184102569</v>
      </c>
      <c r="D14" s="79" t="s">
        <v>2</v>
      </c>
    </row>
    <row r="15" spans="1:4" x14ac:dyDescent="0.2">
      <c r="A15" s="80" t="s">
        <v>137</v>
      </c>
      <c r="B15" s="79" t="s">
        <v>138</v>
      </c>
      <c r="C15" s="78">
        <f>C13*C14</f>
        <v>15.127234603243592</v>
      </c>
      <c r="D15" s="79" t="s">
        <v>64</v>
      </c>
    </row>
    <row r="16" spans="1:4" ht="15.75" x14ac:dyDescent="0.3">
      <c r="A16" s="79" t="s">
        <v>139</v>
      </c>
      <c r="B16" s="80" t="s">
        <v>140</v>
      </c>
      <c r="C16" s="84">
        <f>IF('Kraan en situatie gegevens'!D8='Kraan en situatie gegevens'!G8,Funderingsoppervlak!B44,Funderingsoppervlak!B36)</f>
        <v>120.15052380430483</v>
      </c>
      <c r="D16" s="80" t="s">
        <v>41</v>
      </c>
    </row>
  </sheetData>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zoomScaleNormal="100" workbookViewId="0">
      <selection activeCell="O42" sqref="O42"/>
    </sheetView>
  </sheetViews>
  <sheetFormatPr defaultRowHeight="12.75" x14ac:dyDescent="0.2"/>
  <cols>
    <col min="2" max="2" width="9.85546875" bestFit="1" customWidth="1"/>
    <col min="3" max="4" width="9.5703125" customWidth="1"/>
    <col min="5" max="5" width="10.140625" bestFit="1" customWidth="1"/>
    <col min="9" max="10" width="9.140625" customWidth="1"/>
    <col min="12" max="13" width="9.140625" customWidth="1"/>
    <col min="18" max="18" width="0" hidden="1" customWidth="1"/>
  </cols>
  <sheetData>
    <row r="1" spans="1:27" x14ac:dyDescent="0.2">
      <c r="B1" s="77" t="s">
        <v>474</v>
      </c>
      <c r="U1" s="258" t="s">
        <v>506</v>
      </c>
      <c r="W1" s="173">
        <f>Draagvermogen!U4</f>
        <v>-1.5</v>
      </c>
    </row>
    <row r="2" spans="1:27" x14ac:dyDescent="0.2">
      <c r="B2" s="258" t="s">
        <v>438</v>
      </c>
      <c r="C2" s="173">
        <f>'Kraan en situatie gegevens'!B20</f>
        <v>0.5</v>
      </c>
      <c r="D2" s="173"/>
      <c r="E2" t="s">
        <v>520</v>
      </c>
      <c r="F2" s="173">
        <f>C2+Draagvermogen!B11</f>
        <v>0.5</v>
      </c>
      <c r="G2" s="258" t="s">
        <v>634</v>
      </c>
      <c r="J2" s="396"/>
      <c r="K2" s="385" t="s">
        <v>635</v>
      </c>
    </row>
    <row r="3" spans="1:27" ht="13.5" thickBot="1" x14ac:dyDescent="0.25">
      <c r="B3" s="258" t="s">
        <v>439</v>
      </c>
      <c r="C3" s="173">
        <f>'Kraan en situatie gegevens'!B19</f>
        <v>-1.5</v>
      </c>
      <c r="D3" s="335" t="s">
        <v>519</v>
      </c>
      <c r="G3" s="248"/>
      <c r="U3" s="258" t="s">
        <v>182</v>
      </c>
    </row>
    <row r="4" spans="1:27" ht="28.5" x14ac:dyDescent="0.2">
      <c r="B4" s="265" t="s">
        <v>435</v>
      </c>
      <c r="C4" s="267" t="s">
        <v>436</v>
      </c>
      <c r="D4" s="268" t="s">
        <v>440</v>
      </c>
      <c r="E4" s="269" t="s">
        <v>437</v>
      </c>
      <c r="F4" s="268" t="s">
        <v>444</v>
      </c>
      <c r="G4" s="327" t="s">
        <v>491</v>
      </c>
      <c r="H4" s="268" t="s">
        <v>492</v>
      </c>
      <c r="I4" s="268" t="s">
        <v>442</v>
      </c>
      <c r="J4" s="268" t="s">
        <v>441</v>
      </c>
      <c r="K4" s="268" t="s">
        <v>443</v>
      </c>
      <c r="L4" s="268"/>
      <c r="M4" s="268" t="s">
        <v>445</v>
      </c>
      <c r="N4" s="268" t="s">
        <v>446</v>
      </c>
      <c r="O4" s="268" t="s">
        <v>450</v>
      </c>
      <c r="P4" s="270" t="s">
        <v>451</v>
      </c>
      <c r="Q4" s="281" t="s">
        <v>452</v>
      </c>
      <c r="R4" s="151"/>
      <c r="S4" s="284" t="s">
        <v>456</v>
      </c>
    </row>
    <row r="5" spans="1:27" ht="15" thickBot="1" x14ac:dyDescent="0.25">
      <c r="B5" s="266" t="s">
        <v>196</v>
      </c>
      <c r="C5" s="271" t="s">
        <v>196</v>
      </c>
      <c r="D5" s="272" t="s">
        <v>2</v>
      </c>
      <c r="E5" s="272" t="s">
        <v>8</v>
      </c>
      <c r="F5" s="272" t="s">
        <v>453</v>
      </c>
      <c r="G5" s="272" t="s">
        <v>454</v>
      </c>
      <c r="H5" s="272" t="s">
        <v>454</v>
      </c>
      <c r="I5" s="273"/>
      <c r="J5" s="273"/>
      <c r="K5" s="272" t="s">
        <v>455</v>
      </c>
      <c r="L5" s="273"/>
      <c r="M5" s="273"/>
      <c r="N5" s="272" t="s">
        <v>453</v>
      </c>
      <c r="O5" s="272" t="s">
        <v>193</v>
      </c>
      <c r="P5" s="280" t="s">
        <v>455</v>
      </c>
      <c r="Q5" s="282" t="s">
        <v>455</v>
      </c>
      <c r="R5" s="140"/>
      <c r="S5" s="285" t="s">
        <v>193</v>
      </c>
      <c r="U5" s="328" t="s">
        <v>499</v>
      </c>
      <c r="V5" s="258" t="s">
        <v>498</v>
      </c>
      <c r="W5" s="328" t="s">
        <v>500</v>
      </c>
    </row>
    <row r="6" spans="1:27" x14ac:dyDescent="0.2">
      <c r="A6">
        <f>L6</f>
        <v>1</v>
      </c>
      <c r="B6" s="262">
        <f>F2</f>
        <v>0.5</v>
      </c>
      <c r="C6" s="307">
        <f>C2</f>
        <v>0.5</v>
      </c>
      <c r="D6" s="274">
        <f>IF(B6-C6&lt;0,0,B6-C6)</f>
        <v>0</v>
      </c>
      <c r="E6" s="400" t="s">
        <v>178</v>
      </c>
      <c r="F6" s="401">
        <v>5</v>
      </c>
      <c r="G6" s="401">
        <v>19</v>
      </c>
      <c r="H6" s="401">
        <v>21</v>
      </c>
      <c r="I6" s="276">
        <f t="shared" ref="I6:I16" si="0">IF($C$3-C6&lt;0,0,($C$3-C6)*10)</f>
        <v>0</v>
      </c>
      <c r="J6" s="276">
        <f>IF(C6&gt;=$C$3,G6,H6)*D6</f>
        <v>0</v>
      </c>
      <c r="K6" s="276">
        <f>J6-I6</f>
        <v>0</v>
      </c>
      <c r="L6" s="277">
        <f t="shared" ref="L6:L16" si="1">VLOOKUP(E6,$Z$6:$AA$16,2,FALSE)</f>
        <v>1</v>
      </c>
      <c r="M6" s="276" t="e">
        <f>IF(OR(L6=0,L6=1,L6=3,L6=4),(100/K6)^0.67,1)</f>
        <v>#DIV/0!</v>
      </c>
      <c r="N6" s="276" t="e">
        <f t="shared" ref="N6:N16" si="2">M6*F6</f>
        <v>#DIV/0!</v>
      </c>
      <c r="O6" s="401">
        <v>35</v>
      </c>
      <c r="P6" s="404">
        <v>0</v>
      </c>
      <c r="Q6" s="405">
        <v>0</v>
      </c>
      <c r="R6" s="140">
        <f>O6*D6</f>
        <v>0</v>
      </c>
      <c r="S6" s="286" t="e">
        <f>R6/D6</f>
        <v>#DIV/0!</v>
      </c>
      <c r="T6" t="str">
        <f t="shared" ref="T6:T16" si="3">E6</f>
        <v>Zand</v>
      </c>
      <c r="U6" t="str">
        <f>IF(OR(L6=2,L6=3,L6=4,L6=5),"Ja","Nee")</f>
        <v>Nee</v>
      </c>
      <c r="W6" s="258" t="str">
        <f>IF(V6&gt;6,"Ja","Nee")</f>
        <v>Nee</v>
      </c>
      <c r="Z6" s="258" t="s">
        <v>449</v>
      </c>
      <c r="AA6">
        <v>0</v>
      </c>
    </row>
    <row r="7" spans="1:27" x14ac:dyDescent="0.2">
      <c r="A7">
        <f t="shared" ref="A7:A16" si="4">L7</f>
        <v>1</v>
      </c>
      <c r="B7" s="262">
        <f>C6</f>
        <v>0.5</v>
      </c>
      <c r="C7" s="397">
        <v>-1.5</v>
      </c>
      <c r="D7" s="274">
        <f t="shared" ref="D7:D16" si="5">IF(B7-C7&lt;0,0,B7-C7)</f>
        <v>2</v>
      </c>
      <c r="E7" s="400" t="s">
        <v>178</v>
      </c>
      <c r="F7" s="401">
        <v>0.5</v>
      </c>
      <c r="G7" s="401">
        <v>19</v>
      </c>
      <c r="H7" s="401">
        <v>21</v>
      </c>
      <c r="I7" s="276">
        <f t="shared" si="0"/>
        <v>0</v>
      </c>
      <c r="J7" s="276">
        <f t="shared" ref="J7:J16" si="6">IF(C7&gt;=$C$3,G7,H7)*D7+J6</f>
        <v>38</v>
      </c>
      <c r="K7" s="276">
        <f t="shared" ref="K7:K11" si="7">J7-I7</f>
        <v>38</v>
      </c>
      <c r="L7" s="277">
        <f t="shared" si="1"/>
        <v>1</v>
      </c>
      <c r="M7" s="276">
        <f t="shared" ref="M7:M11" si="8">IF(OR(L7=0,L7=1,L7=3,L7=4),(100/K7)^0.67,1)</f>
        <v>1.9122514119590797</v>
      </c>
      <c r="N7" s="276">
        <f t="shared" si="2"/>
        <v>0.95612570597953983</v>
      </c>
      <c r="O7" s="401">
        <v>35</v>
      </c>
      <c r="P7" s="404">
        <v>0</v>
      </c>
      <c r="Q7" s="405">
        <v>0</v>
      </c>
      <c r="R7" s="140">
        <f t="shared" ref="R7:R16" si="9">O7*D7+R6</f>
        <v>70</v>
      </c>
      <c r="S7" s="286">
        <f>R7/SUM($D$6:D7)</f>
        <v>35</v>
      </c>
      <c r="T7" t="str">
        <f t="shared" si="3"/>
        <v>Zand</v>
      </c>
      <c r="U7" t="str">
        <f>IF(OR(L7=2,L7=3,L7=4,L7=5),"Ja","Nee")</f>
        <v>Nee</v>
      </c>
      <c r="V7" s="233">
        <f>O6-O7</f>
        <v>0</v>
      </c>
      <c r="W7" s="258" t="str">
        <f>IF(V7&gt;6,"Ja","Nee")</f>
        <v>Nee</v>
      </c>
      <c r="X7">
        <f>IF(AND(U7="Ja",W7="Ja"),1,0)</f>
        <v>0</v>
      </c>
      <c r="Z7" s="258" t="s">
        <v>178</v>
      </c>
      <c r="AA7">
        <v>1</v>
      </c>
    </row>
    <row r="8" spans="1:27" x14ac:dyDescent="0.2">
      <c r="A8">
        <f t="shared" si="4"/>
        <v>2</v>
      </c>
      <c r="B8" s="262">
        <f t="shared" ref="B8:B14" si="10">C7</f>
        <v>-1.5</v>
      </c>
      <c r="C8" s="397">
        <v>-2</v>
      </c>
      <c r="D8" s="274">
        <f t="shared" si="5"/>
        <v>0.5</v>
      </c>
      <c r="E8" s="400" t="s">
        <v>180</v>
      </c>
      <c r="F8" s="401">
        <v>0.2</v>
      </c>
      <c r="G8" s="401">
        <v>15</v>
      </c>
      <c r="H8" s="401">
        <v>15</v>
      </c>
      <c r="I8" s="276">
        <f t="shared" si="0"/>
        <v>5</v>
      </c>
      <c r="J8" s="276">
        <f t="shared" si="6"/>
        <v>45.5</v>
      </c>
      <c r="K8" s="276">
        <f t="shared" si="7"/>
        <v>40.5</v>
      </c>
      <c r="L8" s="277">
        <f t="shared" si="1"/>
        <v>2</v>
      </c>
      <c r="M8" s="276">
        <f t="shared" si="8"/>
        <v>1</v>
      </c>
      <c r="N8" s="276">
        <f t="shared" si="2"/>
        <v>0.2</v>
      </c>
      <c r="O8" s="401">
        <v>22.5</v>
      </c>
      <c r="P8" s="404">
        <v>0</v>
      </c>
      <c r="Q8" s="405">
        <v>40</v>
      </c>
      <c r="R8" s="140">
        <f t="shared" si="9"/>
        <v>81.25</v>
      </c>
      <c r="S8" s="286">
        <f>R8/SUM($D$6:D8)</f>
        <v>32.5</v>
      </c>
      <c r="T8" t="str">
        <f t="shared" si="3"/>
        <v>Klei</v>
      </c>
      <c r="U8" t="str">
        <f>IF(OR(L8=2,L8=3,L8=4,L8=5),"Ja","Nee")</f>
        <v>Ja</v>
      </c>
      <c r="V8" s="233">
        <f t="shared" ref="V8:V16" si="11">O7-O8</f>
        <v>12.5</v>
      </c>
      <c r="W8" s="258" t="str">
        <f>IF(V8&gt;6,"Ja","Nee")</f>
        <v>Ja</v>
      </c>
      <c r="X8">
        <f t="shared" ref="X8:X16" si="12">IF(AND(U8="Ja",W8="Ja"),1,0)</f>
        <v>1</v>
      </c>
      <c r="Z8" s="258" t="s">
        <v>180</v>
      </c>
      <c r="AA8">
        <v>2</v>
      </c>
    </row>
    <row r="9" spans="1:27" x14ac:dyDescent="0.2">
      <c r="A9">
        <f t="shared" si="4"/>
        <v>5</v>
      </c>
      <c r="B9" s="262">
        <f t="shared" si="10"/>
        <v>-2</v>
      </c>
      <c r="C9" s="397">
        <v>-4.5</v>
      </c>
      <c r="D9" s="274">
        <f t="shared" si="5"/>
        <v>2.5</v>
      </c>
      <c r="E9" s="400" t="s">
        <v>181</v>
      </c>
      <c r="F9" s="401">
        <v>0.5</v>
      </c>
      <c r="G9" s="401">
        <v>11</v>
      </c>
      <c r="H9" s="401">
        <v>11</v>
      </c>
      <c r="I9" s="276">
        <f t="shared" si="0"/>
        <v>30</v>
      </c>
      <c r="J9" s="276">
        <f t="shared" si="6"/>
        <v>73</v>
      </c>
      <c r="K9" s="276">
        <f t="shared" si="7"/>
        <v>43</v>
      </c>
      <c r="L9" s="277">
        <f t="shared" si="1"/>
        <v>5</v>
      </c>
      <c r="M9" s="276">
        <f t="shared" si="8"/>
        <v>1</v>
      </c>
      <c r="N9" s="276">
        <f t="shared" si="2"/>
        <v>0.5</v>
      </c>
      <c r="O9" s="401">
        <v>15</v>
      </c>
      <c r="P9" s="404">
        <v>1</v>
      </c>
      <c r="Q9" s="405">
        <v>15</v>
      </c>
      <c r="R9" s="140">
        <f t="shared" si="9"/>
        <v>118.75</v>
      </c>
      <c r="S9" s="286">
        <f>R9/SUM($D$6:D9)</f>
        <v>23.75</v>
      </c>
      <c r="T9" t="str">
        <f t="shared" si="3"/>
        <v>Veen</v>
      </c>
      <c r="U9" t="str">
        <f t="shared" ref="U9:U16" si="13">IF(OR(L9=2,L9=3,L9=4,L9=5),"Ja","Nee")</f>
        <v>Ja</v>
      </c>
      <c r="V9" s="233">
        <f t="shared" si="11"/>
        <v>7.5</v>
      </c>
      <c r="W9" s="258" t="str">
        <f t="shared" ref="W9:W16" si="14">IF(V9&gt;6,"Ja","Nee")</f>
        <v>Ja</v>
      </c>
      <c r="X9">
        <f t="shared" si="12"/>
        <v>1</v>
      </c>
      <c r="Z9" s="258" t="s">
        <v>447</v>
      </c>
      <c r="AA9">
        <v>3</v>
      </c>
    </row>
    <row r="10" spans="1:27" x14ac:dyDescent="0.2">
      <c r="A10">
        <f t="shared" si="4"/>
        <v>2</v>
      </c>
      <c r="B10" s="262">
        <f t="shared" si="10"/>
        <v>-4.5</v>
      </c>
      <c r="C10" s="397">
        <v>-6.5</v>
      </c>
      <c r="D10" s="274">
        <f t="shared" si="5"/>
        <v>2</v>
      </c>
      <c r="E10" s="400" t="s">
        <v>180</v>
      </c>
      <c r="F10" s="401">
        <v>2</v>
      </c>
      <c r="G10" s="401">
        <v>18</v>
      </c>
      <c r="H10" s="401">
        <v>18</v>
      </c>
      <c r="I10" s="276">
        <f t="shared" si="0"/>
        <v>50</v>
      </c>
      <c r="J10" s="276">
        <f t="shared" si="6"/>
        <v>109</v>
      </c>
      <c r="K10" s="276">
        <f t="shared" si="7"/>
        <v>59</v>
      </c>
      <c r="L10" s="277">
        <f t="shared" si="1"/>
        <v>2</v>
      </c>
      <c r="M10" s="276">
        <f t="shared" si="8"/>
        <v>1</v>
      </c>
      <c r="N10" s="276">
        <f t="shared" si="2"/>
        <v>2</v>
      </c>
      <c r="O10" s="401">
        <v>27.5</v>
      </c>
      <c r="P10" s="404">
        <v>2</v>
      </c>
      <c r="Q10" s="405">
        <v>80</v>
      </c>
      <c r="R10" s="140">
        <f t="shared" si="9"/>
        <v>173.75</v>
      </c>
      <c r="S10" s="286">
        <f>R10/SUM($D$6:D10)</f>
        <v>24.821428571428573</v>
      </c>
      <c r="T10" t="str">
        <f t="shared" si="3"/>
        <v>Klei</v>
      </c>
      <c r="U10" t="str">
        <f t="shared" si="13"/>
        <v>Ja</v>
      </c>
      <c r="V10" s="233">
        <f t="shared" si="11"/>
        <v>-12.5</v>
      </c>
      <c r="W10" s="258" t="str">
        <f t="shared" si="14"/>
        <v>Nee</v>
      </c>
      <c r="X10">
        <f t="shared" si="12"/>
        <v>0</v>
      </c>
      <c r="Z10" s="258" t="s">
        <v>448</v>
      </c>
      <c r="AA10">
        <v>4</v>
      </c>
    </row>
    <row r="11" spans="1:27" x14ac:dyDescent="0.2">
      <c r="A11">
        <f t="shared" si="4"/>
        <v>1</v>
      </c>
      <c r="B11" s="262">
        <f t="shared" si="10"/>
        <v>-6.5</v>
      </c>
      <c r="C11" s="398">
        <v>-10</v>
      </c>
      <c r="D11" s="274">
        <f t="shared" si="5"/>
        <v>3.5</v>
      </c>
      <c r="E11" s="400" t="s">
        <v>178</v>
      </c>
      <c r="F11" s="401">
        <v>12</v>
      </c>
      <c r="G11" s="401">
        <v>17</v>
      </c>
      <c r="H11" s="401">
        <v>19</v>
      </c>
      <c r="I11" s="276">
        <f t="shared" si="0"/>
        <v>85</v>
      </c>
      <c r="J11" s="276">
        <f t="shared" si="6"/>
        <v>175.5</v>
      </c>
      <c r="K11" s="276">
        <f t="shared" si="7"/>
        <v>90.5</v>
      </c>
      <c r="L11" s="277">
        <f t="shared" si="1"/>
        <v>1</v>
      </c>
      <c r="M11" s="276">
        <f t="shared" si="8"/>
        <v>1.0691667690923428</v>
      </c>
      <c r="N11" s="276">
        <f t="shared" si="2"/>
        <v>12.830001229108113</v>
      </c>
      <c r="O11" s="401">
        <v>30</v>
      </c>
      <c r="P11" s="404">
        <v>0</v>
      </c>
      <c r="Q11" s="405">
        <v>0</v>
      </c>
      <c r="R11" s="140">
        <f t="shared" si="9"/>
        <v>278.75</v>
      </c>
      <c r="S11" s="286">
        <f>R11/SUM($D$6:D11)</f>
        <v>26.547619047619047</v>
      </c>
      <c r="T11" t="str">
        <f t="shared" si="3"/>
        <v>Zand</v>
      </c>
      <c r="U11" t="str">
        <f t="shared" si="13"/>
        <v>Nee</v>
      </c>
      <c r="V11" s="233">
        <f t="shared" si="11"/>
        <v>-2.5</v>
      </c>
      <c r="W11" s="258" t="str">
        <f t="shared" si="14"/>
        <v>Nee</v>
      </c>
      <c r="X11">
        <f t="shared" si="12"/>
        <v>0</v>
      </c>
      <c r="Z11" s="258" t="s">
        <v>181</v>
      </c>
      <c r="AA11">
        <v>5</v>
      </c>
    </row>
    <row r="12" spans="1:27" x14ac:dyDescent="0.2">
      <c r="A12">
        <f t="shared" si="4"/>
        <v>1</v>
      </c>
      <c r="B12" s="262">
        <f t="shared" si="10"/>
        <v>-10</v>
      </c>
      <c r="C12" s="398">
        <v>-13</v>
      </c>
      <c r="D12" s="274">
        <f t="shared" si="5"/>
        <v>3</v>
      </c>
      <c r="E12" s="400" t="s">
        <v>178</v>
      </c>
      <c r="F12" s="401"/>
      <c r="G12" s="401">
        <v>19</v>
      </c>
      <c r="H12" s="401">
        <v>21</v>
      </c>
      <c r="I12" s="276">
        <f t="shared" si="0"/>
        <v>115</v>
      </c>
      <c r="J12" s="276">
        <f t="shared" si="6"/>
        <v>238.5</v>
      </c>
      <c r="K12" s="276">
        <f t="shared" ref="K12:K14" si="15">J12-I12</f>
        <v>123.5</v>
      </c>
      <c r="L12" s="277">
        <f t="shared" si="1"/>
        <v>1</v>
      </c>
      <c r="M12" s="276">
        <f t="shared" ref="M12:M14" si="16">IF(OR(L12=0,L12=1,L12=3,L12=4),(100/K12)^0.67,1)</f>
        <v>0.86812674972503612</v>
      </c>
      <c r="N12" s="276">
        <f t="shared" si="2"/>
        <v>0</v>
      </c>
      <c r="O12" s="401">
        <v>30</v>
      </c>
      <c r="P12" s="404">
        <v>0</v>
      </c>
      <c r="Q12" s="405">
        <v>0</v>
      </c>
      <c r="R12" s="140">
        <f t="shared" si="9"/>
        <v>368.75</v>
      </c>
      <c r="S12" s="286">
        <f>R12/SUM($D$6:D12)</f>
        <v>27.314814814814813</v>
      </c>
      <c r="T12" t="str">
        <f t="shared" si="3"/>
        <v>Zand</v>
      </c>
      <c r="U12" t="str">
        <f t="shared" si="13"/>
        <v>Nee</v>
      </c>
      <c r="V12" s="233">
        <f t="shared" si="11"/>
        <v>0</v>
      </c>
      <c r="W12" s="258" t="str">
        <f t="shared" si="14"/>
        <v>Nee</v>
      </c>
      <c r="X12">
        <f t="shared" si="12"/>
        <v>0</v>
      </c>
      <c r="Z12" s="258" t="s">
        <v>179</v>
      </c>
      <c r="AA12">
        <v>6</v>
      </c>
    </row>
    <row r="13" spans="1:27" x14ac:dyDescent="0.2">
      <c r="A13">
        <f t="shared" si="4"/>
        <v>1</v>
      </c>
      <c r="B13" s="262">
        <f t="shared" si="10"/>
        <v>-13</v>
      </c>
      <c r="C13" s="398">
        <v>-15</v>
      </c>
      <c r="D13" s="274">
        <f t="shared" si="5"/>
        <v>2</v>
      </c>
      <c r="E13" s="400" t="s">
        <v>178</v>
      </c>
      <c r="F13" s="401"/>
      <c r="G13" s="401">
        <v>19</v>
      </c>
      <c r="H13" s="401">
        <v>21</v>
      </c>
      <c r="I13" s="276">
        <f t="shared" si="0"/>
        <v>135</v>
      </c>
      <c r="J13" s="276">
        <f t="shared" si="6"/>
        <v>280.5</v>
      </c>
      <c r="K13" s="276">
        <f t="shared" si="15"/>
        <v>145.5</v>
      </c>
      <c r="L13" s="277">
        <f t="shared" si="1"/>
        <v>1</v>
      </c>
      <c r="M13" s="276">
        <f t="shared" si="16"/>
        <v>0.77782481520475821</v>
      </c>
      <c r="N13" s="276">
        <f t="shared" si="2"/>
        <v>0</v>
      </c>
      <c r="O13" s="401">
        <v>30</v>
      </c>
      <c r="P13" s="404">
        <v>0</v>
      </c>
      <c r="Q13" s="405">
        <v>0</v>
      </c>
      <c r="R13" s="140">
        <f t="shared" si="9"/>
        <v>428.75</v>
      </c>
      <c r="S13" s="286">
        <f>R13/SUM($D$6:D13)</f>
        <v>27.661290322580644</v>
      </c>
      <c r="T13" t="str">
        <f t="shared" si="3"/>
        <v>Zand</v>
      </c>
      <c r="U13" t="str">
        <f t="shared" si="13"/>
        <v>Nee</v>
      </c>
      <c r="V13" s="233">
        <f t="shared" si="11"/>
        <v>0</v>
      </c>
      <c r="W13" s="258" t="str">
        <f t="shared" si="14"/>
        <v>Nee</v>
      </c>
      <c r="X13">
        <f t="shared" si="12"/>
        <v>0</v>
      </c>
    </row>
    <row r="14" spans="1:27" x14ac:dyDescent="0.2">
      <c r="A14">
        <f t="shared" si="4"/>
        <v>1</v>
      </c>
      <c r="B14" s="262">
        <f t="shared" si="10"/>
        <v>-15</v>
      </c>
      <c r="C14" s="398"/>
      <c r="D14" s="274">
        <f t="shared" si="5"/>
        <v>0</v>
      </c>
      <c r="E14" s="400" t="s">
        <v>178</v>
      </c>
      <c r="F14" s="401"/>
      <c r="G14" s="401"/>
      <c r="H14" s="401"/>
      <c r="I14" s="276">
        <f t="shared" si="0"/>
        <v>0</v>
      </c>
      <c r="J14" s="276">
        <f t="shared" si="6"/>
        <v>280.5</v>
      </c>
      <c r="K14" s="276">
        <f t="shared" si="15"/>
        <v>280.5</v>
      </c>
      <c r="L14" s="277">
        <f t="shared" si="1"/>
        <v>1</v>
      </c>
      <c r="M14" s="276">
        <f t="shared" si="16"/>
        <v>0.50105451516466548</v>
      </c>
      <c r="N14" s="276">
        <f t="shared" si="2"/>
        <v>0</v>
      </c>
      <c r="O14" s="401">
        <v>0</v>
      </c>
      <c r="P14" s="404">
        <v>0</v>
      </c>
      <c r="Q14" s="405">
        <v>0</v>
      </c>
      <c r="R14" s="140">
        <f t="shared" si="9"/>
        <v>428.75</v>
      </c>
      <c r="S14" s="286">
        <f>R14/SUM($D$6:D14)</f>
        <v>27.661290322580644</v>
      </c>
      <c r="T14" t="str">
        <f t="shared" si="3"/>
        <v>Zand</v>
      </c>
      <c r="U14" t="str">
        <f t="shared" si="13"/>
        <v>Nee</v>
      </c>
      <c r="V14" s="233">
        <f t="shared" si="11"/>
        <v>30</v>
      </c>
      <c r="W14" s="258" t="str">
        <f t="shared" si="14"/>
        <v>Ja</v>
      </c>
      <c r="X14">
        <f t="shared" si="12"/>
        <v>0</v>
      </c>
    </row>
    <row r="15" spans="1:27" x14ac:dyDescent="0.2">
      <c r="A15">
        <f t="shared" si="4"/>
        <v>1</v>
      </c>
      <c r="B15" s="262"/>
      <c r="C15" s="398"/>
      <c r="D15" s="274">
        <f t="shared" si="5"/>
        <v>0</v>
      </c>
      <c r="E15" s="400" t="s">
        <v>178</v>
      </c>
      <c r="F15" s="401"/>
      <c r="G15" s="401"/>
      <c r="H15" s="401"/>
      <c r="I15" s="276">
        <f t="shared" si="0"/>
        <v>0</v>
      </c>
      <c r="J15" s="276">
        <f t="shared" si="6"/>
        <v>280.5</v>
      </c>
      <c r="K15" s="276">
        <f t="shared" ref="K15:K16" si="17">J15-I15</f>
        <v>280.5</v>
      </c>
      <c r="L15" s="277">
        <f t="shared" si="1"/>
        <v>1</v>
      </c>
      <c r="M15" s="276">
        <f t="shared" ref="M15:M16" si="18">IF(OR(L15=0,L15=1,L15=3,L15=4),(100/K15)^0.67,1)</f>
        <v>0.50105451516466548</v>
      </c>
      <c r="N15" s="276">
        <f t="shared" si="2"/>
        <v>0</v>
      </c>
      <c r="O15" s="401">
        <v>0</v>
      </c>
      <c r="P15" s="404">
        <v>0</v>
      </c>
      <c r="Q15" s="405">
        <v>0</v>
      </c>
      <c r="R15" s="140">
        <f t="shared" si="9"/>
        <v>428.75</v>
      </c>
      <c r="S15" s="286">
        <f>R15/SUM($D$6:D15)</f>
        <v>27.661290322580644</v>
      </c>
      <c r="T15" t="str">
        <f t="shared" si="3"/>
        <v>Zand</v>
      </c>
      <c r="U15" t="str">
        <f t="shared" si="13"/>
        <v>Nee</v>
      </c>
      <c r="V15" s="233">
        <f t="shared" si="11"/>
        <v>0</v>
      </c>
      <c r="W15" s="258" t="str">
        <f t="shared" si="14"/>
        <v>Nee</v>
      </c>
      <c r="X15">
        <f t="shared" si="12"/>
        <v>0</v>
      </c>
    </row>
    <row r="16" spans="1:27" ht="13.5" thickBot="1" x14ac:dyDescent="0.25">
      <c r="A16">
        <f t="shared" si="4"/>
        <v>1</v>
      </c>
      <c r="B16" s="263"/>
      <c r="C16" s="399"/>
      <c r="D16" s="278">
        <f t="shared" si="5"/>
        <v>0</v>
      </c>
      <c r="E16" s="402" t="s">
        <v>178</v>
      </c>
      <c r="F16" s="403"/>
      <c r="G16" s="403"/>
      <c r="H16" s="403"/>
      <c r="I16" s="279">
        <f t="shared" si="0"/>
        <v>0</v>
      </c>
      <c r="J16" s="279">
        <f t="shared" si="6"/>
        <v>280.5</v>
      </c>
      <c r="K16" s="279">
        <f t="shared" si="17"/>
        <v>280.5</v>
      </c>
      <c r="L16" s="273">
        <f t="shared" si="1"/>
        <v>1</v>
      </c>
      <c r="M16" s="279">
        <f t="shared" si="18"/>
        <v>0.50105451516466548</v>
      </c>
      <c r="N16" s="279">
        <f t="shared" si="2"/>
        <v>0</v>
      </c>
      <c r="O16" s="403">
        <v>0</v>
      </c>
      <c r="P16" s="406">
        <v>0</v>
      </c>
      <c r="Q16" s="407">
        <v>0</v>
      </c>
      <c r="R16" s="283">
        <f t="shared" si="9"/>
        <v>428.75</v>
      </c>
      <c r="S16" s="287">
        <f>R16/SUM($D$6:D16)</f>
        <v>27.661290322580644</v>
      </c>
      <c r="T16" t="str">
        <f t="shared" si="3"/>
        <v>Zand</v>
      </c>
      <c r="U16" t="str">
        <f t="shared" si="13"/>
        <v>Nee</v>
      </c>
      <c r="V16" s="233">
        <f t="shared" si="11"/>
        <v>0</v>
      </c>
      <c r="W16" s="258" t="str">
        <f t="shared" si="14"/>
        <v>Nee</v>
      </c>
      <c r="X16">
        <f t="shared" si="12"/>
        <v>0</v>
      </c>
    </row>
    <row r="19" spans="2:24" ht="13.5" thickBot="1" x14ac:dyDescent="0.25">
      <c r="B19" s="77" t="s">
        <v>459</v>
      </c>
    </row>
    <row r="20" spans="2:24" ht="28.5" x14ac:dyDescent="0.2">
      <c r="B20" s="265" t="s">
        <v>435</v>
      </c>
      <c r="C20" s="267" t="s">
        <v>436</v>
      </c>
      <c r="D20" s="268" t="s">
        <v>440</v>
      </c>
      <c r="E20" s="269" t="s">
        <v>437</v>
      </c>
      <c r="F20" s="268" t="s">
        <v>444</v>
      </c>
      <c r="G20" s="327" t="s">
        <v>491</v>
      </c>
      <c r="H20" s="268" t="s">
        <v>492</v>
      </c>
      <c r="I20" s="268" t="s">
        <v>442</v>
      </c>
      <c r="J20" s="268" t="s">
        <v>441</v>
      </c>
      <c r="K20" s="268" t="s">
        <v>443</v>
      </c>
      <c r="L20" s="268"/>
      <c r="M20" s="268" t="s">
        <v>445</v>
      </c>
      <c r="N20" s="268" t="s">
        <v>446</v>
      </c>
      <c r="O20" s="268" t="s">
        <v>493</v>
      </c>
      <c r="P20" s="270" t="s">
        <v>494</v>
      </c>
      <c r="Q20" s="281" t="s">
        <v>486</v>
      </c>
      <c r="R20" s="151"/>
      <c r="S20" s="284" t="s">
        <v>456</v>
      </c>
    </row>
    <row r="21" spans="2:24" ht="15" thickBot="1" x14ac:dyDescent="0.25">
      <c r="B21" s="261" t="s">
        <v>196</v>
      </c>
      <c r="C21" s="288" t="s">
        <v>196</v>
      </c>
      <c r="D21" s="275" t="s">
        <v>2</v>
      </c>
      <c r="E21" s="275" t="s">
        <v>8</v>
      </c>
      <c r="F21" s="275" t="s">
        <v>453</v>
      </c>
      <c r="G21" s="275" t="s">
        <v>454</v>
      </c>
      <c r="H21" s="275" t="s">
        <v>454</v>
      </c>
      <c r="I21" s="277"/>
      <c r="J21" s="277"/>
      <c r="K21" s="275" t="s">
        <v>455</v>
      </c>
      <c r="L21" s="277"/>
      <c r="M21" s="277"/>
      <c r="N21" s="275" t="s">
        <v>453</v>
      </c>
      <c r="O21" s="275" t="s">
        <v>193</v>
      </c>
      <c r="P21" s="289" t="s">
        <v>455</v>
      </c>
      <c r="Q21" s="290" t="s">
        <v>455</v>
      </c>
      <c r="R21" s="140"/>
      <c r="S21" s="291" t="s">
        <v>193</v>
      </c>
    </row>
    <row r="22" spans="2:24" ht="13.5" thickBot="1" x14ac:dyDescent="0.25">
      <c r="B22" s="264"/>
      <c r="C22" s="292"/>
      <c r="D22" s="293"/>
      <c r="E22" s="293"/>
      <c r="F22" s="293"/>
      <c r="G22" s="296">
        <v>1.1000000000000001</v>
      </c>
      <c r="H22" s="296">
        <v>1.1000000000000001</v>
      </c>
      <c r="I22" s="294"/>
      <c r="J22" s="294"/>
      <c r="K22" s="293"/>
      <c r="L22" s="294"/>
      <c r="M22" s="294"/>
      <c r="N22" s="293"/>
      <c r="O22" s="296">
        <v>1.1499999999999999</v>
      </c>
      <c r="P22" s="297">
        <v>1.6</v>
      </c>
      <c r="Q22" s="298">
        <v>1.35</v>
      </c>
      <c r="R22" s="153"/>
      <c r="S22" s="295"/>
      <c r="X22">
        <f>IF(AND(U7="Ja';X7=""Ja"),1,0)</f>
        <v>0</v>
      </c>
    </row>
    <row r="23" spans="2:24" x14ac:dyDescent="0.2">
      <c r="B23" s="306">
        <f>B6</f>
        <v>0.5</v>
      </c>
      <c r="C23" s="307">
        <f>C6</f>
        <v>0.5</v>
      </c>
      <c r="D23" s="308">
        <f>D6</f>
        <v>0</v>
      </c>
      <c r="E23" s="309" t="str">
        <f>E6</f>
        <v>Zand</v>
      </c>
      <c r="F23" s="310">
        <f>F6</f>
        <v>5</v>
      </c>
      <c r="G23" s="310">
        <f>G6/$G$22</f>
        <v>17.27272727272727</v>
      </c>
      <c r="H23" s="310">
        <f>H6/$H$22</f>
        <v>19.09090909090909</v>
      </c>
      <c r="I23" s="276">
        <f>IF($C$3-C23&lt;0,0,($C$3-C23)*10)</f>
        <v>0</v>
      </c>
      <c r="J23" s="276">
        <f>IF(C23&gt;=$C$3,G23,H23)*D23</f>
        <v>0</v>
      </c>
      <c r="K23" s="310">
        <f>J23-I23</f>
        <v>0</v>
      </c>
      <c r="L23" s="310">
        <f>L6</f>
        <v>1</v>
      </c>
      <c r="M23" s="310" t="e">
        <f>M6</f>
        <v>#DIV/0!</v>
      </c>
      <c r="N23" s="310" t="e">
        <f t="shared" ref="N23:N33" si="19">M23*F23</f>
        <v>#DIV/0!</v>
      </c>
      <c r="O23" s="310">
        <f>ATAN(TAN(O6*(PI()/180))/$O$22)/(PI()/180)</f>
        <v>31.336236937858072</v>
      </c>
      <c r="P23" s="318">
        <f>P6/$P$22</f>
        <v>0</v>
      </c>
      <c r="Q23" s="319">
        <f>Q6/$Q$22</f>
        <v>0</v>
      </c>
      <c r="R23" s="216">
        <f>O23*D23</f>
        <v>0</v>
      </c>
      <c r="S23" s="320" t="e">
        <f>R23/D23</f>
        <v>#DIV/0!</v>
      </c>
    </row>
    <row r="24" spans="2:24" x14ac:dyDescent="0.2">
      <c r="B24" s="306">
        <f t="shared" ref="B24:F24" si="20">B7</f>
        <v>0.5</v>
      </c>
      <c r="C24" s="307">
        <f t="shared" si="20"/>
        <v>-1.5</v>
      </c>
      <c r="D24" s="308">
        <f t="shared" si="20"/>
        <v>2</v>
      </c>
      <c r="E24" s="309" t="str">
        <f t="shared" si="20"/>
        <v>Zand</v>
      </c>
      <c r="F24" s="310">
        <f t="shared" si="20"/>
        <v>0.5</v>
      </c>
      <c r="G24" s="310">
        <f>G7/$G$22</f>
        <v>17.27272727272727</v>
      </c>
      <c r="H24" s="310">
        <f>H7/$H$22</f>
        <v>19.09090909090909</v>
      </c>
      <c r="I24" s="317">
        <f t="shared" ref="I24:I33" si="21">IF($C$3-C24&lt;0,0,($C$3-C24)*10)</f>
        <v>0</v>
      </c>
      <c r="J24" s="276">
        <f t="shared" ref="J24:J33" si="22">IF(C24&gt;=$C$3,G24,H24)*D24+J23</f>
        <v>34.54545454545454</v>
      </c>
      <c r="K24" s="310">
        <f t="shared" ref="K24:K31" si="23">J24-I24</f>
        <v>34.54545454545454</v>
      </c>
      <c r="L24" s="310">
        <f t="shared" ref="L24:M24" si="24">L7</f>
        <v>1</v>
      </c>
      <c r="M24" s="310">
        <f t="shared" si="24"/>
        <v>1.9122514119590797</v>
      </c>
      <c r="N24" s="310">
        <f t="shared" si="19"/>
        <v>0.95612570597953983</v>
      </c>
      <c r="O24" s="310">
        <f t="shared" ref="O24:O33" si="25">ATAN(TAN(O7*(PI()/180))/$O$22)/(PI()/180)</f>
        <v>31.336236937858072</v>
      </c>
      <c r="P24" s="318">
        <f t="shared" ref="P24:P33" si="26">P7/$P$22</f>
        <v>0</v>
      </c>
      <c r="Q24" s="319">
        <f t="shared" ref="Q24:Q33" si="27">Q7/$Q$22</f>
        <v>0</v>
      </c>
      <c r="R24" s="216">
        <f t="shared" ref="R24:R33" si="28">O24*D24+R23</f>
        <v>62.672473875716143</v>
      </c>
      <c r="S24" s="320">
        <f>R24/SUM($D$23:D24)</f>
        <v>31.336236937858072</v>
      </c>
    </row>
    <row r="25" spans="2:24" x14ac:dyDescent="0.2">
      <c r="B25" s="306">
        <f t="shared" ref="B25:F25" si="29">B8</f>
        <v>-1.5</v>
      </c>
      <c r="C25" s="307">
        <f t="shared" si="29"/>
        <v>-2</v>
      </c>
      <c r="D25" s="308">
        <f t="shared" si="29"/>
        <v>0.5</v>
      </c>
      <c r="E25" s="309" t="str">
        <f t="shared" si="29"/>
        <v>Klei</v>
      </c>
      <c r="F25" s="310">
        <f t="shared" si="29"/>
        <v>0.2</v>
      </c>
      <c r="G25" s="310">
        <f t="shared" ref="G25:G33" si="30">G8/$G$22</f>
        <v>13.636363636363635</v>
      </c>
      <c r="H25" s="310">
        <f t="shared" ref="H25:H33" si="31">H8/$H$22</f>
        <v>13.636363636363635</v>
      </c>
      <c r="I25" s="317">
        <f t="shared" si="21"/>
        <v>5</v>
      </c>
      <c r="J25" s="276">
        <f t="shared" si="22"/>
        <v>41.36363636363636</v>
      </c>
      <c r="K25" s="310">
        <f t="shared" si="23"/>
        <v>36.36363636363636</v>
      </c>
      <c r="L25" s="310">
        <f t="shared" ref="L25:M25" si="32">L8</f>
        <v>2</v>
      </c>
      <c r="M25" s="310">
        <f t="shared" si="32"/>
        <v>1</v>
      </c>
      <c r="N25" s="310">
        <f t="shared" si="19"/>
        <v>0.2</v>
      </c>
      <c r="O25" s="310">
        <f t="shared" si="25"/>
        <v>19.808295231837807</v>
      </c>
      <c r="P25" s="318">
        <f t="shared" si="26"/>
        <v>0</v>
      </c>
      <c r="Q25" s="319">
        <f t="shared" si="27"/>
        <v>29.629629629629626</v>
      </c>
      <c r="R25" s="216">
        <f t="shared" si="28"/>
        <v>72.576621491635052</v>
      </c>
      <c r="S25" s="320">
        <f>R25/SUM($D$23:D25)</f>
        <v>29.030648596654022</v>
      </c>
    </row>
    <row r="26" spans="2:24" x14ac:dyDescent="0.2">
      <c r="B26" s="306">
        <f t="shared" ref="B26:F26" si="33">B9</f>
        <v>-2</v>
      </c>
      <c r="C26" s="307">
        <f t="shared" si="33"/>
        <v>-4.5</v>
      </c>
      <c r="D26" s="308">
        <f t="shared" si="33"/>
        <v>2.5</v>
      </c>
      <c r="E26" s="309" t="str">
        <f t="shared" si="33"/>
        <v>Veen</v>
      </c>
      <c r="F26" s="310">
        <f t="shared" si="33"/>
        <v>0.5</v>
      </c>
      <c r="G26" s="310">
        <f t="shared" si="30"/>
        <v>10</v>
      </c>
      <c r="H26" s="310">
        <f t="shared" si="31"/>
        <v>10</v>
      </c>
      <c r="I26" s="317">
        <f t="shared" si="21"/>
        <v>30</v>
      </c>
      <c r="J26" s="276">
        <f t="shared" si="22"/>
        <v>66.36363636363636</v>
      </c>
      <c r="K26" s="310">
        <f t="shared" si="23"/>
        <v>36.36363636363636</v>
      </c>
      <c r="L26" s="310">
        <f t="shared" ref="L26:M26" si="34">L9</f>
        <v>5</v>
      </c>
      <c r="M26" s="310">
        <f t="shared" si="34"/>
        <v>1</v>
      </c>
      <c r="N26" s="310">
        <f t="shared" si="19"/>
        <v>0.5</v>
      </c>
      <c r="O26" s="310">
        <f t="shared" si="25"/>
        <v>13.115870337879684</v>
      </c>
      <c r="P26" s="318">
        <f t="shared" si="26"/>
        <v>0.625</v>
      </c>
      <c r="Q26" s="319">
        <f t="shared" si="27"/>
        <v>11.111111111111111</v>
      </c>
      <c r="R26" s="216">
        <f t="shared" si="28"/>
        <v>105.36629733633427</v>
      </c>
      <c r="S26" s="320">
        <f>R26/SUM($D$23:D26)</f>
        <v>21.073259467266855</v>
      </c>
    </row>
    <row r="27" spans="2:24" x14ac:dyDescent="0.2">
      <c r="B27" s="306">
        <f t="shared" ref="B27:F27" si="35">B10</f>
        <v>-4.5</v>
      </c>
      <c r="C27" s="307">
        <f t="shared" si="35"/>
        <v>-6.5</v>
      </c>
      <c r="D27" s="308">
        <f t="shared" si="35"/>
        <v>2</v>
      </c>
      <c r="E27" s="309" t="str">
        <f t="shared" si="35"/>
        <v>Klei</v>
      </c>
      <c r="F27" s="310">
        <f t="shared" si="35"/>
        <v>2</v>
      </c>
      <c r="G27" s="310">
        <f t="shared" si="30"/>
        <v>16.363636363636363</v>
      </c>
      <c r="H27" s="310">
        <f t="shared" si="31"/>
        <v>16.363636363636363</v>
      </c>
      <c r="I27" s="317">
        <f t="shared" si="21"/>
        <v>50</v>
      </c>
      <c r="J27" s="276">
        <f t="shared" si="22"/>
        <v>99.090909090909093</v>
      </c>
      <c r="K27" s="310">
        <f t="shared" si="23"/>
        <v>49.090909090909093</v>
      </c>
      <c r="L27" s="310">
        <f t="shared" ref="L27:M27" si="36">L10</f>
        <v>2</v>
      </c>
      <c r="M27" s="310">
        <f t="shared" si="36"/>
        <v>1</v>
      </c>
      <c r="N27" s="310">
        <f t="shared" si="19"/>
        <v>2</v>
      </c>
      <c r="O27" s="310">
        <f t="shared" si="25"/>
        <v>24.354693562805618</v>
      </c>
      <c r="P27" s="318">
        <f t="shared" si="26"/>
        <v>1.25</v>
      </c>
      <c r="Q27" s="319">
        <f t="shared" si="27"/>
        <v>59.259259259259252</v>
      </c>
      <c r="R27" s="216">
        <f t="shared" si="28"/>
        <v>154.07568446194551</v>
      </c>
      <c r="S27" s="320">
        <f>R27/SUM($D$23:D27)</f>
        <v>22.010812065992216</v>
      </c>
    </row>
    <row r="28" spans="2:24" x14ac:dyDescent="0.2">
      <c r="B28" s="306">
        <f t="shared" ref="B28:F28" si="37">B11</f>
        <v>-6.5</v>
      </c>
      <c r="C28" s="311">
        <f t="shared" si="37"/>
        <v>-10</v>
      </c>
      <c r="D28" s="308">
        <f t="shared" si="37"/>
        <v>3.5</v>
      </c>
      <c r="E28" s="309" t="str">
        <f t="shared" si="37"/>
        <v>Zand</v>
      </c>
      <c r="F28" s="310">
        <f t="shared" si="37"/>
        <v>12</v>
      </c>
      <c r="G28" s="310">
        <f t="shared" si="30"/>
        <v>15.454545454545453</v>
      </c>
      <c r="H28" s="310">
        <f t="shared" si="31"/>
        <v>17.27272727272727</v>
      </c>
      <c r="I28" s="317">
        <f t="shared" si="21"/>
        <v>85</v>
      </c>
      <c r="J28" s="276">
        <f t="shared" si="22"/>
        <v>159.54545454545453</v>
      </c>
      <c r="K28" s="310">
        <f t="shared" si="23"/>
        <v>74.545454545454533</v>
      </c>
      <c r="L28" s="310">
        <f t="shared" ref="L28:M28" si="38">L11</f>
        <v>1</v>
      </c>
      <c r="M28" s="310">
        <f t="shared" si="38"/>
        <v>1.0691667690923428</v>
      </c>
      <c r="N28" s="310">
        <f t="shared" si="19"/>
        <v>12.830001229108113</v>
      </c>
      <c r="O28" s="310">
        <f t="shared" si="25"/>
        <v>26.658651450173039</v>
      </c>
      <c r="P28" s="318">
        <f t="shared" si="26"/>
        <v>0</v>
      </c>
      <c r="Q28" s="319">
        <f t="shared" si="27"/>
        <v>0</v>
      </c>
      <c r="R28" s="216">
        <f t="shared" si="28"/>
        <v>247.38096453755116</v>
      </c>
      <c r="S28" s="320">
        <f>R28/SUM($D$23:D28)</f>
        <v>23.560091860719158</v>
      </c>
    </row>
    <row r="29" spans="2:24" x14ac:dyDescent="0.2">
      <c r="B29" s="306">
        <f t="shared" ref="B29:F29" si="39">B12</f>
        <v>-10</v>
      </c>
      <c r="C29" s="311">
        <f t="shared" si="39"/>
        <v>-13</v>
      </c>
      <c r="D29" s="308">
        <f t="shared" si="39"/>
        <v>3</v>
      </c>
      <c r="E29" s="309" t="str">
        <f t="shared" si="39"/>
        <v>Zand</v>
      </c>
      <c r="F29" s="310">
        <f t="shared" si="39"/>
        <v>0</v>
      </c>
      <c r="G29" s="310">
        <f t="shared" si="30"/>
        <v>17.27272727272727</v>
      </c>
      <c r="H29" s="310">
        <f t="shared" si="31"/>
        <v>19.09090909090909</v>
      </c>
      <c r="I29" s="317">
        <f t="shared" si="21"/>
        <v>115</v>
      </c>
      <c r="J29" s="276">
        <f t="shared" si="22"/>
        <v>216.81818181818181</v>
      </c>
      <c r="K29" s="310">
        <f t="shared" si="23"/>
        <v>101.81818181818181</v>
      </c>
      <c r="L29" s="310">
        <f t="shared" ref="L29:M29" si="40">L12</f>
        <v>1</v>
      </c>
      <c r="M29" s="310">
        <f t="shared" si="40"/>
        <v>0.86812674972503612</v>
      </c>
      <c r="N29" s="310">
        <f t="shared" si="19"/>
        <v>0</v>
      </c>
      <c r="O29" s="310">
        <f t="shared" si="25"/>
        <v>26.658651450173039</v>
      </c>
      <c r="P29" s="318">
        <f t="shared" si="26"/>
        <v>0</v>
      </c>
      <c r="Q29" s="319">
        <f t="shared" si="27"/>
        <v>0</v>
      </c>
      <c r="R29" s="216">
        <f t="shared" si="28"/>
        <v>327.35691888807025</v>
      </c>
      <c r="S29" s="320">
        <f>R29/SUM($D$23:D29)</f>
        <v>24.248660658375574</v>
      </c>
    </row>
    <row r="30" spans="2:24" x14ac:dyDescent="0.2">
      <c r="B30" s="306">
        <f t="shared" ref="B30:F30" si="41">B13</f>
        <v>-13</v>
      </c>
      <c r="C30" s="311">
        <f t="shared" si="41"/>
        <v>-15</v>
      </c>
      <c r="D30" s="308">
        <f t="shared" si="41"/>
        <v>2</v>
      </c>
      <c r="E30" s="309" t="str">
        <f t="shared" si="41"/>
        <v>Zand</v>
      </c>
      <c r="F30" s="310">
        <f t="shared" si="41"/>
        <v>0</v>
      </c>
      <c r="G30" s="310">
        <f t="shared" si="30"/>
        <v>17.27272727272727</v>
      </c>
      <c r="H30" s="310">
        <f t="shared" si="31"/>
        <v>19.09090909090909</v>
      </c>
      <c r="I30" s="317">
        <f t="shared" si="21"/>
        <v>135</v>
      </c>
      <c r="J30" s="276">
        <f t="shared" si="22"/>
        <v>255</v>
      </c>
      <c r="K30" s="310">
        <f t="shared" si="23"/>
        <v>120</v>
      </c>
      <c r="L30" s="310">
        <f t="shared" ref="L30:M30" si="42">L13</f>
        <v>1</v>
      </c>
      <c r="M30" s="310">
        <f t="shared" si="42"/>
        <v>0.77782481520475821</v>
      </c>
      <c r="N30" s="310">
        <f t="shared" si="19"/>
        <v>0</v>
      </c>
      <c r="O30" s="310">
        <f t="shared" si="25"/>
        <v>26.658651450173039</v>
      </c>
      <c r="P30" s="318">
        <f t="shared" si="26"/>
        <v>0</v>
      </c>
      <c r="Q30" s="319">
        <f t="shared" si="27"/>
        <v>0</v>
      </c>
      <c r="R30" s="216">
        <f t="shared" si="28"/>
        <v>380.67422178841633</v>
      </c>
      <c r="S30" s="320">
        <f>R30/SUM($D$23:D30)</f>
        <v>24.559627212155892</v>
      </c>
    </row>
    <row r="31" spans="2:24" x14ac:dyDescent="0.2">
      <c r="B31" s="306">
        <f t="shared" ref="B31:F31" si="43">B14</f>
        <v>-15</v>
      </c>
      <c r="C31" s="311">
        <f t="shared" si="43"/>
        <v>0</v>
      </c>
      <c r="D31" s="308">
        <f t="shared" si="43"/>
        <v>0</v>
      </c>
      <c r="E31" s="309" t="str">
        <f t="shared" si="43"/>
        <v>Zand</v>
      </c>
      <c r="F31" s="310">
        <f t="shared" si="43"/>
        <v>0</v>
      </c>
      <c r="G31" s="310">
        <f t="shared" si="30"/>
        <v>0</v>
      </c>
      <c r="H31" s="310">
        <f t="shared" si="31"/>
        <v>0</v>
      </c>
      <c r="I31" s="317">
        <f t="shared" si="21"/>
        <v>0</v>
      </c>
      <c r="J31" s="276">
        <f t="shared" si="22"/>
        <v>255</v>
      </c>
      <c r="K31" s="310">
        <f t="shared" si="23"/>
        <v>255</v>
      </c>
      <c r="L31" s="310">
        <f t="shared" ref="L31:M31" si="44">L14</f>
        <v>1</v>
      </c>
      <c r="M31" s="310">
        <f t="shared" si="44"/>
        <v>0.50105451516466548</v>
      </c>
      <c r="N31" s="310">
        <f t="shared" si="19"/>
        <v>0</v>
      </c>
      <c r="O31" s="310">
        <f t="shared" si="25"/>
        <v>0</v>
      </c>
      <c r="P31" s="318">
        <f t="shared" si="26"/>
        <v>0</v>
      </c>
      <c r="Q31" s="319">
        <f t="shared" si="27"/>
        <v>0</v>
      </c>
      <c r="R31" s="216">
        <f t="shared" si="28"/>
        <v>380.67422178841633</v>
      </c>
      <c r="S31" s="320">
        <f>R31/SUM($D$23:D31)</f>
        <v>24.559627212155892</v>
      </c>
    </row>
    <row r="32" spans="2:24" x14ac:dyDescent="0.2">
      <c r="B32" s="306">
        <f t="shared" ref="B32:F32" si="45">B15</f>
        <v>0</v>
      </c>
      <c r="C32" s="311">
        <f t="shared" si="45"/>
        <v>0</v>
      </c>
      <c r="D32" s="308">
        <f t="shared" si="45"/>
        <v>0</v>
      </c>
      <c r="E32" s="309" t="str">
        <f t="shared" si="45"/>
        <v>Zand</v>
      </c>
      <c r="F32" s="310">
        <f t="shared" si="45"/>
        <v>0</v>
      </c>
      <c r="G32" s="310">
        <f t="shared" si="30"/>
        <v>0</v>
      </c>
      <c r="H32" s="310">
        <f t="shared" si="31"/>
        <v>0</v>
      </c>
      <c r="I32" s="317">
        <f t="shared" si="21"/>
        <v>0</v>
      </c>
      <c r="J32" s="276">
        <f t="shared" si="22"/>
        <v>255</v>
      </c>
      <c r="K32" s="310">
        <f t="shared" ref="K32:K33" si="46">J32-I32</f>
        <v>255</v>
      </c>
      <c r="L32" s="310">
        <f t="shared" ref="L32:M32" si="47">L15</f>
        <v>1</v>
      </c>
      <c r="M32" s="310">
        <f t="shared" si="47"/>
        <v>0.50105451516466548</v>
      </c>
      <c r="N32" s="310">
        <f t="shared" si="19"/>
        <v>0</v>
      </c>
      <c r="O32" s="310">
        <f t="shared" si="25"/>
        <v>0</v>
      </c>
      <c r="P32" s="318">
        <f t="shared" si="26"/>
        <v>0</v>
      </c>
      <c r="Q32" s="319">
        <f t="shared" si="27"/>
        <v>0</v>
      </c>
      <c r="R32" s="216">
        <f t="shared" si="28"/>
        <v>380.67422178841633</v>
      </c>
      <c r="S32" s="320">
        <f>R32/SUM($D$23:D32)</f>
        <v>24.559627212155892</v>
      </c>
    </row>
    <row r="33" spans="2:19" ht="13.5" thickBot="1" x14ac:dyDescent="0.25">
      <c r="B33" s="312">
        <f t="shared" ref="B33:F33" si="48">B16</f>
        <v>0</v>
      </c>
      <c r="C33" s="313">
        <f t="shared" si="48"/>
        <v>0</v>
      </c>
      <c r="D33" s="314">
        <f t="shared" si="48"/>
        <v>0</v>
      </c>
      <c r="E33" s="315" t="str">
        <f t="shared" si="48"/>
        <v>Zand</v>
      </c>
      <c r="F33" s="316">
        <f t="shared" si="48"/>
        <v>0</v>
      </c>
      <c r="G33" s="316">
        <f t="shared" si="30"/>
        <v>0</v>
      </c>
      <c r="H33" s="316">
        <f t="shared" si="31"/>
        <v>0</v>
      </c>
      <c r="I33" s="321">
        <f t="shared" si="21"/>
        <v>0</v>
      </c>
      <c r="J33" s="279">
        <f t="shared" si="22"/>
        <v>255</v>
      </c>
      <c r="K33" s="316">
        <f t="shared" si="46"/>
        <v>255</v>
      </c>
      <c r="L33" s="316">
        <f t="shared" ref="L33:M33" si="49">L16</f>
        <v>1</v>
      </c>
      <c r="M33" s="316">
        <f t="shared" si="49"/>
        <v>0.50105451516466548</v>
      </c>
      <c r="N33" s="316">
        <f t="shared" si="19"/>
        <v>0</v>
      </c>
      <c r="O33" s="316">
        <f t="shared" si="25"/>
        <v>0</v>
      </c>
      <c r="P33" s="322">
        <f t="shared" si="26"/>
        <v>0</v>
      </c>
      <c r="Q33" s="323">
        <f t="shared" si="27"/>
        <v>0</v>
      </c>
      <c r="R33" s="251">
        <f t="shared" si="28"/>
        <v>380.67422178841633</v>
      </c>
      <c r="S33" s="324">
        <f>R33/SUM($D$23:D33)</f>
        <v>24.559627212155892</v>
      </c>
    </row>
    <row r="35" spans="2:19" x14ac:dyDescent="0.2">
      <c r="B35" s="77" t="s">
        <v>526</v>
      </c>
    </row>
    <row r="36" spans="2:19" x14ac:dyDescent="0.2">
      <c r="B36" s="258" t="s">
        <v>462</v>
      </c>
      <c r="D36" s="173">
        <f>MAX(C2,F2)-Draagvermogen!F7</f>
        <v>-5.1917800573132844</v>
      </c>
      <c r="E36" s="258" t="s">
        <v>196</v>
      </c>
    </row>
    <row r="37" spans="2:19" ht="13.5" thickBot="1" x14ac:dyDescent="0.25">
      <c r="D37" s="258" t="s">
        <v>463</v>
      </c>
      <c r="E37" s="258" t="s">
        <v>464</v>
      </c>
    </row>
    <row r="38" spans="2:19" x14ac:dyDescent="0.2">
      <c r="B38" s="173">
        <f>B6</f>
        <v>0.5</v>
      </c>
      <c r="C38" s="173">
        <f>IF(C6&gt;$D$36,C6,$D$36)</f>
        <v>0.5</v>
      </c>
      <c r="D38" s="173">
        <f>IF(B38-C38&gt;0,B38-C38,0)</f>
        <v>0</v>
      </c>
      <c r="E38" s="173">
        <f>IF(C38=0,0,(B38+C38)/2-$D$36)</f>
        <v>5.6917800573132844</v>
      </c>
      <c r="F38" s="299">
        <f t="shared" ref="F38:F48" si="50">D38*O6*E38</f>
        <v>0</v>
      </c>
      <c r="G38" s="336">
        <f>D38*E38</f>
        <v>0</v>
      </c>
      <c r="I38" s="299">
        <f t="shared" ref="I38:I48" si="51">D38*E38*P6</f>
        <v>0</v>
      </c>
      <c r="J38" s="300">
        <f t="shared" ref="J38:J48" si="52">G38</f>
        <v>0</v>
      </c>
    </row>
    <row r="39" spans="2:19" x14ac:dyDescent="0.2">
      <c r="B39" s="173">
        <f>C38</f>
        <v>0.5</v>
      </c>
      <c r="C39" s="173">
        <f>IF(C7&gt;$D$36,C7,$D$36)</f>
        <v>-1.5</v>
      </c>
      <c r="D39" s="173">
        <f t="shared" ref="D39:D43" si="53">IF(B39-C39&gt;0,B39-C39,0)</f>
        <v>2</v>
      </c>
      <c r="E39" s="173">
        <f t="shared" ref="E39:E48" si="54">IF(C39=0,0,(B39+C39)/2-$D$36)</f>
        <v>4.6917800573132844</v>
      </c>
      <c r="F39" s="301">
        <f t="shared" si="50"/>
        <v>328.42460401192989</v>
      </c>
      <c r="G39" s="302">
        <f t="shared" ref="G39:G42" si="55">D39*E39</f>
        <v>9.3835601146265688</v>
      </c>
      <c r="I39" s="301">
        <f t="shared" si="51"/>
        <v>0</v>
      </c>
      <c r="J39" s="302">
        <f t="shared" si="52"/>
        <v>9.3835601146265688</v>
      </c>
    </row>
    <row r="40" spans="2:19" x14ac:dyDescent="0.2">
      <c r="B40" s="173">
        <f t="shared" ref="B40:B41" si="56">C39</f>
        <v>-1.5</v>
      </c>
      <c r="C40" s="173">
        <f>IF(C8&gt;$D$36,C8,$D$36)</f>
        <v>-2</v>
      </c>
      <c r="D40" s="173">
        <f t="shared" si="53"/>
        <v>0.5</v>
      </c>
      <c r="E40" s="173">
        <f t="shared" si="54"/>
        <v>3.4417800573132844</v>
      </c>
      <c r="F40" s="301">
        <f t="shared" si="50"/>
        <v>38.720025644774452</v>
      </c>
      <c r="G40" s="302">
        <f t="shared" si="55"/>
        <v>1.7208900286566422</v>
      </c>
      <c r="I40" s="301">
        <f t="shared" si="51"/>
        <v>0</v>
      </c>
      <c r="J40" s="302">
        <f t="shared" si="52"/>
        <v>1.7208900286566422</v>
      </c>
    </row>
    <row r="41" spans="2:19" x14ac:dyDescent="0.2">
      <c r="B41" s="173">
        <f t="shared" si="56"/>
        <v>-2</v>
      </c>
      <c r="C41" s="173">
        <f>IF(C9&gt;$D$36,C9,$D$36)</f>
        <v>-4.5</v>
      </c>
      <c r="D41" s="173">
        <f t="shared" si="53"/>
        <v>2.5</v>
      </c>
      <c r="E41" s="173">
        <f t="shared" si="54"/>
        <v>1.9417800573132844</v>
      </c>
      <c r="F41" s="301">
        <f t="shared" si="50"/>
        <v>72.81675214924816</v>
      </c>
      <c r="G41" s="302">
        <f t="shared" si="55"/>
        <v>4.854450143283211</v>
      </c>
      <c r="I41" s="301">
        <f t="shared" si="51"/>
        <v>4.854450143283211</v>
      </c>
      <c r="J41" s="302">
        <f t="shared" si="52"/>
        <v>4.854450143283211</v>
      </c>
    </row>
    <row r="42" spans="2:19" x14ac:dyDescent="0.2">
      <c r="B42" s="173">
        <f>C41</f>
        <v>-4.5</v>
      </c>
      <c r="C42" s="173">
        <f>IF(C10&gt;$D$36,C10,$D$36)</f>
        <v>-5.1917800573132844</v>
      </c>
      <c r="D42" s="173">
        <f t="shared" si="53"/>
        <v>0.6917800573132844</v>
      </c>
      <c r="E42" s="173">
        <f t="shared" si="54"/>
        <v>0.3458900286566422</v>
      </c>
      <c r="F42" s="301">
        <f t="shared" si="50"/>
        <v>6.5801951558251028</v>
      </c>
      <c r="G42" s="302">
        <f t="shared" si="55"/>
        <v>0.23927982384818552</v>
      </c>
      <c r="I42" s="301">
        <f t="shared" si="51"/>
        <v>0.47855964769637105</v>
      </c>
      <c r="J42" s="302">
        <f t="shared" si="52"/>
        <v>0.23927982384818552</v>
      </c>
    </row>
    <row r="43" spans="2:19" x14ac:dyDescent="0.2">
      <c r="B43" s="173">
        <f t="shared" ref="B43:B48" si="57">C42</f>
        <v>-5.1917800573132844</v>
      </c>
      <c r="C43" s="173">
        <f t="shared" ref="C43:C48" si="58">IF(C11&gt;$D$36,C11,$D$36)</f>
        <v>-5.1917800573132844</v>
      </c>
      <c r="D43" s="173">
        <f t="shared" si="53"/>
        <v>0</v>
      </c>
      <c r="E43" s="173">
        <f t="shared" si="54"/>
        <v>0</v>
      </c>
      <c r="F43" s="301">
        <f t="shared" si="50"/>
        <v>0</v>
      </c>
      <c r="G43" s="302">
        <f t="shared" ref="G43:G47" si="59">D43*E43</f>
        <v>0</v>
      </c>
      <c r="I43" s="301">
        <f t="shared" si="51"/>
        <v>0</v>
      </c>
      <c r="J43" s="302">
        <f t="shared" si="52"/>
        <v>0</v>
      </c>
    </row>
    <row r="44" spans="2:19" x14ac:dyDescent="0.2">
      <c r="B44" s="173">
        <f t="shared" si="57"/>
        <v>-5.1917800573132844</v>
      </c>
      <c r="C44" s="173">
        <f t="shared" si="58"/>
        <v>-5.1917800573132844</v>
      </c>
      <c r="D44" s="173">
        <f>IF(B44-C44&gt;0,B44-C44,0)</f>
        <v>0</v>
      </c>
      <c r="E44" s="173">
        <f t="shared" si="54"/>
        <v>0</v>
      </c>
      <c r="F44" s="301">
        <f t="shared" si="50"/>
        <v>0</v>
      </c>
      <c r="G44" s="302">
        <f t="shared" si="59"/>
        <v>0</v>
      </c>
      <c r="I44" s="301">
        <f t="shared" si="51"/>
        <v>0</v>
      </c>
      <c r="J44" s="302">
        <f t="shared" si="52"/>
        <v>0</v>
      </c>
    </row>
    <row r="45" spans="2:19" x14ac:dyDescent="0.2">
      <c r="B45" s="173">
        <f t="shared" si="57"/>
        <v>-5.1917800573132844</v>
      </c>
      <c r="C45" s="173">
        <f t="shared" si="58"/>
        <v>-5.1917800573132844</v>
      </c>
      <c r="D45" s="173">
        <f>IF(B45-C45&gt;0,B45-C45,0)</f>
        <v>0</v>
      </c>
      <c r="E45" s="173">
        <f t="shared" si="54"/>
        <v>0</v>
      </c>
      <c r="F45" s="301">
        <f t="shared" si="50"/>
        <v>0</v>
      </c>
      <c r="G45" s="302">
        <f t="shared" si="59"/>
        <v>0</v>
      </c>
      <c r="I45" s="301">
        <f t="shared" si="51"/>
        <v>0</v>
      </c>
      <c r="J45" s="302">
        <f t="shared" si="52"/>
        <v>0</v>
      </c>
    </row>
    <row r="46" spans="2:19" x14ac:dyDescent="0.2">
      <c r="B46" s="173">
        <f t="shared" si="57"/>
        <v>-5.1917800573132844</v>
      </c>
      <c r="C46" s="173">
        <f t="shared" si="58"/>
        <v>0</v>
      </c>
      <c r="D46" s="173">
        <f t="shared" ref="D46:D48" si="60">IF(B46-C46&gt;0,B46-C46,0)</f>
        <v>0</v>
      </c>
      <c r="E46" s="173">
        <f t="shared" si="54"/>
        <v>0</v>
      </c>
      <c r="F46" s="301">
        <f t="shared" si="50"/>
        <v>0</v>
      </c>
      <c r="G46" s="302">
        <f t="shared" si="59"/>
        <v>0</v>
      </c>
      <c r="I46" s="301">
        <f t="shared" si="51"/>
        <v>0</v>
      </c>
      <c r="J46" s="302">
        <f t="shared" si="52"/>
        <v>0</v>
      </c>
    </row>
    <row r="47" spans="2:19" x14ac:dyDescent="0.2">
      <c r="B47" s="173">
        <f t="shared" si="57"/>
        <v>0</v>
      </c>
      <c r="C47" s="173">
        <f t="shared" si="58"/>
        <v>0</v>
      </c>
      <c r="D47" s="173">
        <f t="shared" si="60"/>
        <v>0</v>
      </c>
      <c r="E47" s="173">
        <f t="shared" si="54"/>
        <v>0</v>
      </c>
      <c r="F47" s="301">
        <f t="shared" si="50"/>
        <v>0</v>
      </c>
      <c r="G47" s="302">
        <f t="shared" si="59"/>
        <v>0</v>
      </c>
      <c r="I47" s="301">
        <f t="shared" si="51"/>
        <v>0</v>
      </c>
      <c r="J47" s="302">
        <f t="shared" si="52"/>
        <v>0</v>
      </c>
    </row>
    <row r="48" spans="2:19" x14ac:dyDescent="0.2">
      <c r="B48" s="173">
        <f t="shared" si="57"/>
        <v>0</v>
      </c>
      <c r="C48" s="173">
        <f t="shared" si="58"/>
        <v>0</v>
      </c>
      <c r="D48" s="173">
        <f t="shared" si="60"/>
        <v>0</v>
      </c>
      <c r="E48" s="173">
        <f t="shared" si="54"/>
        <v>0</v>
      </c>
      <c r="F48" s="301">
        <f t="shared" si="50"/>
        <v>0</v>
      </c>
      <c r="G48" s="302">
        <f t="shared" ref="G48" si="61">D48*E48</f>
        <v>0</v>
      </c>
      <c r="I48" s="301">
        <f t="shared" si="51"/>
        <v>0</v>
      </c>
      <c r="J48" s="302">
        <f t="shared" si="52"/>
        <v>0</v>
      </c>
    </row>
    <row r="49" spans="2:10" ht="13.5" thickBot="1" x14ac:dyDescent="0.25">
      <c r="F49" s="152"/>
      <c r="G49" s="138"/>
      <c r="I49" s="152"/>
      <c r="J49" s="138"/>
    </row>
    <row r="50" spans="2:10" x14ac:dyDescent="0.2">
      <c r="F50" s="299">
        <f>SUM(F38:F48)</f>
        <v>446.54157696177759</v>
      </c>
      <c r="G50" s="300">
        <f>SUM(G38:G48)</f>
        <v>16.198180110414608</v>
      </c>
      <c r="I50" s="299">
        <f>SUM(I38:I48)</f>
        <v>5.3330097909795819</v>
      </c>
      <c r="J50" s="300">
        <f>SUM(J38:J48)</f>
        <v>16.198180110414608</v>
      </c>
    </row>
    <row r="51" spans="2:10" ht="15.75" x14ac:dyDescent="0.3">
      <c r="F51" s="256" t="s">
        <v>468</v>
      </c>
      <c r="G51" s="303">
        <f>F50/G50</f>
        <v>27.567391763638561</v>
      </c>
      <c r="I51" s="256" t="s">
        <v>528</v>
      </c>
      <c r="J51" s="302">
        <f>I50/J50</f>
        <v>0.32923512114491971</v>
      </c>
    </row>
    <row r="52" spans="2:10" ht="16.5" thickBot="1" x14ac:dyDescent="0.35">
      <c r="F52" s="304" t="s">
        <v>469</v>
      </c>
      <c r="G52" s="305">
        <f>ATAN(TAN(G51*(PI()/180))/O22)/(PI()/180)</f>
        <v>24.416516738535666</v>
      </c>
      <c r="I52" s="304" t="s">
        <v>470</v>
      </c>
      <c r="J52" s="325">
        <f>J51/P22</f>
        <v>0.2057719507155748</v>
      </c>
    </row>
    <row r="54" spans="2:10" ht="13.5" thickBot="1" x14ac:dyDescent="0.25">
      <c r="D54" t="s">
        <v>463</v>
      </c>
      <c r="E54" t="s">
        <v>521</v>
      </c>
      <c r="F54" t="s">
        <v>522</v>
      </c>
    </row>
    <row r="55" spans="2:10" x14ac:dyDescent="0.2">
      <c r="B55" s="173">
        <f t="shared" ref="B55:D65" si="62">B38</f>
        <v>0.5</v>
      </c>
      <c r="C55" s="173">
        <f t="shared" si="62"/>
        <v>0.5</v>
      </c>
      <c r="D55" s="173">
        <f t="shared" si="62"/>
        <v>0</v>
      </c>
      <c r="E55" s="173">
        <f t="shared" ref="E55:E65" si="63">G23</f>
        <v>17.27272727272727</v>
      </c>
      <c r="F55" s="173">
        <f t="shared" ref="F55:F65" si="64">H23-10</f>
        <v>9.0909090909090899</v>
      </c>
      <c r="G55" s="173">
        <f>IF(D55=0,0,IF(C55&gt;=$C$3,E55,F55)*D55/D55)</f>
        <v>0</v>
      </c>
      <c r="H55" s="330">
        <f t="shared" ref="H55:H65" si="65">D38*E38*G55</f>
        <v>0</v>
      </c>
      <c r="I55" s="300">
        <f t="shared" ref="I55:I65" si="66">D38*E38</f>
        <v>0</v>
      </c>
    </row>
    <row r="56" spans="2:10" x14ac:dyDescent="0.2">
      <c r="B56" s="173">
        <f t="shared" si="62"/>
        <v>0.5</v>
      </c>
      <c r="C56" s="173">
        <f t="shared" si="62"/>
        <v>-1.5</v>
      </c>
      <c r="D56" s="173">
        <f t="shared" si="62"/>
        <v>2</v>
      </c>
      <c r="E56" s="173">
        <f t="shared" si="63"/>
        <v>17.27272727272727</v>
      </c>
      <c r="F56" s="173">
        <f t="shared" si="64"/>
        <v>9.0909090909090899</v>
      </c>
      <c r="G56" s="173">
        <f>IF(D56=0,0,IF(C56&gt;=$C$3,E56,F56)*D56/D56)</f>
        <v>17.27272727272727</v>
      </c>
      <c r="H56" s="331">
        <f t="shared" si="65"/>
        <v>162.07967470718617</v>
      </c>
      <c r="I56" s="302">
        <f t="shared" si="66"/>
        <v>9.3835601146265688</v>
      </c>
    </row>
    <row r="57" spans="2:10" x14ac:dyDescent="0.2">
      <c r="B57" s="173">
        <f t="shared" si="62"/>
        <v>-1.5</v>
      </c>
      <c r="C57" s="173">
        <f t="shared" si="62"/>
        <v>-2</v>
      </c>
      <c r="D57" s="173">
        <f t="shared" si="62"/>
        <v>0.5</v>
      </c>
      <c r="E57" s="173">
        <f t="shared" si="63"/>
        <v>13.636363636363635</v>
      </c>
      <c r="F57" s="173">
        <f t="shared" si="64"/>
        <v>3.6363636363636349</v>
      </c>
      <c r="G57" s="173">
        <f>IF(D57=0,0,IF(C57&gt;=$C$3,E57,F57)*D57/D57)</f>
        <v>3.6363636363636349</v>
      </c>
      <c r="H57" s="331">
        <f t="shared" si="65"/>
        <v>6.2577819223877871</v>
      </c>
      <c r="I57" s="302">
        <f t="shared" si="66"/>
        <v>1.7208900286566422</v>
      </c>
    </row>
    <row r="58" spans="2:10" x14ac:dyDescent="0.2">
      <c r="B58" s="173">
        <f t="shared" si="62"/>
        <v>-2</v>
      </c>
      <c r="C58" s="173">
        <f t="shared" si="62"/>
        <v>-4.5</v>
      </c>
      <c r="D58" s="173">
        <f t="shared" si="62"/>
        <v>2.5</v>
      </c>
      <c r="E58" s="173">
        <f t="shared" si="63"/>
        <v>10</v>
      </c>
      <c r="F58" s="173">
        <f t="shared" si="64"/>
        <v>0</v>
      </c>
      <c r="G58" s="173">
        <f t="shared" ref="G58:G65" si="67">IF(D58=0,0,IF(C58&gt;=$C$3,E58,F58)*D58/D58)</f>
        <v>0</v>
      </c>
      <c r="H58" s="331">
        <f t="shared" si="65"/>
        <v>0</v>
      </c>
      <c r="I58" s="302">
        <f t="shared" si="66"/>
        <v>4.854450143283211</v>
      </c>
    </row>
    <row r="59" spans="2:10" x14ac:dyDescent="0.2">
      <c r="B59" s="173">
        <f t="shared" si="62"/>
        <v>-4.5</v>
      </c>
      <c r="C59" s="173">
        <f t="shared" si="62"/>
        <v>-5.1917800573132844</v>
      </c>
      <c r="D59" s="173">
        <f t="shared" si="62"/>
        <v>0.6917800573132844</v>
      </c>
      <c r="E59" s="173">
        <f t="shared" si="63"/>
        <v>16.363636363636363</v>
      </c>
      <c r="F59" s="173">
        <f t="shared" si="64"/>
        <v>6.3636363636363633</v>
      </c>
      <c r="G59" s="173">
        <f t="shared" si="67"/>
        <v>6.3636363636363642</v>
      </c>
      <c r="H59" s="331">
        <f t="shared" si="65"/>
        <v>1.5226897881248171</v>
      </c>
      <c r="I59" s="302">
        <f t="shared" si="66"/>
        <v>0.23927982384818552</v>
      </c>
    </row>
    <row r="60" spans="2:10" x14ac:dyDescent="0.2">
      <c r="B60" s="173">
        <f t="shared" si="62"/>
        <v>-5.1917800573132844</v>
      </c>
      <c r="C60" s="173">
        <f t="shared" si="62"/>
        <v>-5.1917800573132844</v>
      </c>
      <c r="D60" s="173">
        <f t="shared" si="62"/>
        <v>0</v>
      </c>
      <c r="E60" s="173">
        <f t="shared" si="63"/>
        <v>15.454545454545453</v>
      </c>
      <c r="F60" s="173">
        <f t="shared" si="64"/>
        <v>7.2727272727272698</v>
      </c>
      <c r="G60" s="173">
        <f t="shared" si="67"/>
        <v>0</v>
      </c>
      <c r="H60" s="331">
        <f t="shared" si="65"/>
        <v>0</v>
      </c>
      <c r="I60" s="302">
        <f t="shared" si="66"/>
        <v>0</v>
      </c>
    </row>
    <row r="61" spans="2:10" x14ac:dyDescent="0.2">
      <c r="B61" s="173">
        <f t="shared" si="62"/>
        <v>-5.1917800573132844</v>
      </c>
      <c r="C61" s="173">
        <f t="shared" si="62"/>
        <v>-5.1917800573132844</v>
      </c>
      <c r="D61" s="173">
        <f t="shared" si="62"/>
        <v>0</v>
      </c>
      <c r="E61" s="173">
        <f t="shared" si="63"/>
        <v>17.27272727272727</v>
      </c>
      <c r="F61" s="173">
        <f t="shared" si="64"/>
        <v>9.0909090909090899</v>
      </c>
      <c r="G61" s="173">
        <f t="shared" si="67"/>
        <v>0</v>
      </c>
      <c r="H61" s="331">
        <f t="shared" si="65"/>
        <v>0</v>
      </c>
      <c r="I61" s="302">
        <f t="shared" si="66"/>
        <v>0</v>
      </c>
    </row>
    <row r="62" spans="2:10" x14ac:dyDescent="0.2">
      <c r="B62" s="173">
        <f t="shared" si="62"/>
        <v>-5.1917800573132844</v>
      </c>
      <c r="C62" s="173">
        <f t="shared" si="62"/>
        <v>-5.1917800573132844</v>
      </c>
      <c r="D62" s="173">
        <f t="shared" si="62"/>
        <v>0</v>
      </c>
      <c r="E62" s="173">
        <f t="shared" si="63"/>
        <v>17.27272727272727</v>
      </c>
      <c r="F62" s="173">
        <f t="shared" si="64"/>
        <v>9.0909090909090899</v>
      </c>
      <c r="G62" s="173">
        <f t="shared" si="67"/>
        <v>0</v>
      </c>
      <c r="H62" s="331">
        <f t="shared" si="65"/>
        <v>0</v>
      </c>
      <c r="I62" s="302">
        <f t="shared" si="66"/>
        <v>0</v>
      </c>
    </row>
    <row r="63" spans="2:10" x14ac:dyDescent="0.2">
      <c r="B63" s="173">
        <f t="shared" si="62"/>
        <v>-5.1917800573132844</v>
      </c>
      <c r="C63" s="173">
        <f t="shared" si="62"/>
        <v>0</v>
      </c>
      <c r="D63" s="173">
        <f t="shared" si="62"/>
        <v>0</v>
      </c>
      <c r="E63" s="173">
        <f t="shared" si="63"/>
        <v>0</v>
      </c>
      <c r="F63" s="173">
        <f t="shared" si="64"/>
        <v>-10</v>
      </c>
      <c r="G63" s="173">
        <f t="shared" si="67"/>
        <v>0</v>
      </c>
      <c r="H63" s="331">
        <f t="shared" si="65"/>
        <v>0</v>
      </c>
      <c r="I63" s="302">
        <f t="shared" si="66"/>
        <v>0</v>
      </c>
    </row>
    <row r="64" spans="2:10" x14ac:dyDescent="0.2">
      <c r="B64" s="173">
        <f t="shared" si="62"/>
        <v>0</v>
      </c>
      <c r="C64" s="173">
        <f t="shared" si="62"/>
        <v>0</v>
      </c>
      <c r="D64" s="173">
        <f t="shared" si="62"/>
        <v>0</v>
      </c>
      <c r="E64" s="173">
        <f t="shared" si="63"/>
        <v>0</v>
      </c>
      <c r="F64" s="173">
        <f t="shared" si="64"/>
        <v>-10</v>
      </c>
      <c r="G64" s="173">
        <f t="shared" si="67"/>
        <v>0</v>
      </c>
      <c r="H64" s="331">
        <f t="shared" si="65"/>
        <v>0</v>
      </c>
      <c r="I64" s="302">
        <f t="shared" si="66"/>
        <v>0</v>
      </c>
    </row>
    <row r="65" spans="2:25" x14ac:dyDescent="0.2">
      <c r="B65" s="173">
        <f t="shared" si="62"/>
        <v>0</v>
      </c>
      <c r="C65" s="173">
        <f t="shared" si="62"/>
        <v>0</v>
      </c>
      <c r="D65" s="173">
        <f t="shared" si="62"/>
        <v>0</v>
      </c>
      <c r="E65" s="173">
        <f t="shared" si="63"/>
        <v>0</v>
      </c>
      <c r="F65" s="173">
        <f t="shared" si="64"/>
        <v>-10</v>
      </c>
      <c r="G65" s="173">
        <f t="shared" si="67"/>
        <v>0</v>
      </c>
      <c r="H65" s="331">
        <f t="shared" si="65"/>
        <v>0</v>
      </c>
      <c r="I65" s="302">
        <f t="shared" si="66"/>
        <v>0</v>
      </c>
    </row>
    <row r="66" spans="2:25" ht="13.5" thickBot="1" x14ac:dyDescent="0.25">
      <c r="H66" s="152"/>
      <c r="I66" s="138"/>
    </row>
    <row r="67" spans="2:25" x14ac:dyDescent="0.2">
      <c r="H67" s="330">
        <f>SUM(H55:H65)</f>
        <v>169.86014641769876</v>
      </c>
      <c r="I67" s="300">
        <f>SUM(I55:I65)</f>
        <v>16.198180110414608</v>
      </c>
    </row>
    <row r="68" spans="2:25" ht="13.5" thickBot="1" x14ac:dyDescent="0.25">
      <c r="H68" s="337" t="s">
        <v>467</v>
      </c>
      <c r="I68" s="305">
        <f>H67/I67</f>
        <v>10.486372250453451</v>
      </c>
    </row>
    <row r="72" spans="2:25" x14ac:dyDescent="0.2">
      <c r="B72" s="77" t="s">
        <v>527</v>
      </c>
    </row>
    <row r="73" spans="2:25" x14ac:dyDescent="0.2">
      <c r="B73" s="258" t="s">
        <v>462</v>
      </c>
      <c r="D73" s="173">
        <f>W1-Draagvermogen!S17</f>
        <v>-6.5508832511440982</v>
      </c>
    </row>
    <row r="74" spans="2:25" ht="13.5" thickBot="1" x14ac:dyDescent="0.25">
      <c r="D74" s="258" t="s">
        <v>463</v>
      </c>
      <c r="E74" s="258" t="s">
        <v>464</v>
      </c>
      <c r="F74" s="258" t="s">
        <v>507</v>
      </c>
      <c r="I74" s="258"/>
      <c r="J74" s="258"/>
      <c r="K74" s="258"/>
      <c r="L74" s="258"/>
      <c r="M74" s="258"/>
      <c r="N74" s="258"/>
      <c r="O74" s="258"/>
      <c r="P74" s="258"/>
      <c r="Q74" s="258"/>
      <c r="R74" s="258"/>
      <c r="S74" s="258"/>
      <c r="T74" s="258"/>
      <c r="V74" s="258" t="s">
        <v>507</v>
      </c>
      <c r="W74" s="258" t="s">
        <v>511</v>
      </c>
      <c r="X74" s="258" t="s">
        <v>49</v>
      </c>
      <c r="Y74" s="258" t="s">
        <v>508</v>
      </c>
    </row>
    <row r="75" spans="2:25" x14ac:dyDescent="0.2">
      <c r="B75" s="173">
        <f>T75</f>
        <v>-1.5</v>
      </c>
      <c r="C75" s="173">
        <f>IF(U75&gt;$D$73,U75,$D$73)</f>
        <v>-2</v>
      </c>
      <c r="D75" s="173">
        <f>IF(B75-C75&gt;0,B75-C75,0)</f>
        <v>0.5</v>
      </c>
      <c r="E75" s="173">
        <f>IF(C75=0,0,(B75+C75)/2-$D$73)</f>
        <v>4.8008832511440982</v>
      </c>
      <c r="F75" s="173">
        <f>V75</f>
        <v>22.5</v>
      </c>
      <c r="G75" s="330">
        <f>D75*E75*F75</f>
        <v>54.009936575371107</v>
      </c>
      <c r="H75" s="300">
        <f>D75*E75</f>
        <v>2.4004416255720491</v>
      </c>
      <c r="I75" s="258"/>
      <c r="J75" s="258"/>
      <c r="K75" s="258"/>
      <c r="L75" s="258"/>
      <c r="M75" s="258"/>
      <c r="N75" s="258"/>
      <c r="O75" s="258"/>
      <c r="P75" s="258"/>
      <c r="Q75" s="258"/>
      <c r="R75" s="258"/>
      <c r="S75" s="258"/>
      <c r="T75" s="338">
        <f>VLOOKUP(W1,B6:C16,1,FALSE)</f>
        <v>-1.5</v>
      </c>
      <c r="U75">
        <f>VLOOKUP(T75,$B$6:$C$16,2,FALSE)</f>
        <v>-2</v>
      </c>
      <c r="V75" s="173">
        <f>IF(U75=0,0,VLOOKUP(T75,B6:S16,14,0))</f>
        <v>22.5</v>
      </c>
      <c r="W75">
        <f>IF(U75=0,0,VLOOKUP(T75,B6:S16,15,0))</f>
        <v>0</v>
      </c>
      <c r="X75" s="233">
        <f t="shared" ref="X75:X82" si="68">VLOOKUP(T75,$B$23:$H$33,6,FALSE)</f>
        <v>13.636363636363635</v>
      </c>
      <c r="Y75" s="233">
        <f t="shared" ref="Y75:Y82" si="69">VLOOKUP(T75,$B$23:$H$33,7,FALSE)</f>
        <v>13.636363636363635</v>
      </c>
    </row>
    <row r="76" spans="2:25" x14ac:dyDescent="0.2">
      <c r="B76" s="173">
        <f>C75</f>
        <v>-2</v>
      </c>
      <c r="C76" s="173">
        <f>IF(U76&gt;$D$73,U76,$D$73)</f>
        <v>-4.5</v>
      </c>
      <c r="D76" s="173">
        <f t="shared" ref="D76:D81" si="70">IF(B76-C76&gt;0,B76-C76,0)</f>
        <v>2.5</v>
      </c>
      <c r="E76" s="173">
        <f t="shared" ref="E76:E81" si="71">IF(C76=0,0,(B76+C76)/2-$D$73)</f>
        <v>3.3008832511440982</v>
      </c>
      <c r="F76" s="173">
        <f t="shared" ref="F76:F81" si="72">V76</f>
        <v>15</v>
      </c>
      <c r="G76" s="331">
        <f>D76*E76*F76</f>
        <v>123.7831219179037</v>
      </c>
      <c r="H76" s="302">
        <f>D76*E76</f>
        <v>8.2522081278602464</v>
      </c>
      <c r="I76" s="258"/>
      <c r="J76" s="258"/>
      <c r="K76" s="258"/>
      <c r="L76" s="258"/>
      <c r="M76" s="258"/>
      <c r="N76" s="258"/>
      <c r="O76" s="258"/>
      <c r="P76" s="258"/>
      <c r="Q76" s="258"/>
      <c r="R76" s="258"/>
      <c r="S76" s="258"/>
      <c r="T76" s="258">
        <f>U75</f>
        <v>-2</v>
      </c>
      <c r="U76">
        <f>IF(U75=0,0,VLOOKUP(T76,$B$6:$C$16,2,FALSE))</f>
        <v>-4.5</v>
      </c>
      <c r="V76" s="173">
        <f t="shared" ref="V76:V82" si="73">IF(U76=0,0,VLOOKUP(T76,B7:S17,14,0))</f>
        <v>15</v>
      </c>
      <c r="W76">
        <f t="shared" ref="W76:W82" si="74">IF(U76=0,0,VLOOKUP(T76,B7:S17,15,0))</f>
        <v>1</v>
      </c>
      <c r="X76" s="233">
        <f t="shared" si="68"/>
        <v>10</v>
      </c>
      <c r="Y76" s="233">
        <f t="shared" si="69"/>
        <v>10</v>
      </c>
    </row>
    <row r="77" spans="2:25" x14ac:dyDescent="0.2">
      <c r="B77" s="173">
        <f>C76</f>
        <v>-4.5</v>
      </c>
      <c r="C77" s="173">
        <f t="shared" ref="C77:C81" si="75">IF(U77&gt;$D$73,U77,$D$73)</f>
        <v>-6.5</v>
      </c>
      <c r="D77" s="173">
        <f t="shared" si="70"/>
        <v>2</v>
      </c>
      <c r="E77" s="173">
        <f t="shared" si="71"/>
        <v>1.0508832511440982</v>
      </c>
      <c r="F77" s="173">
        <f t="shared" si="72"/>
        <v>27.5</v>
      </c>
      <c r="G77" s="331">
        <f t="shared" ref="G77:G81" si="76">D77*E77*F77</f>
        <v>57.798578812925399</v>
      </c>
      <c r="H77" s="302">
        <f t="shared" ref="H77:H81" si="77">D77*E77</f>
        <v>2.1017665022881964</v>
      </c>
      <c r="I77" s="258"/>
      <c r="J77" s="258"/>
      <c r="K77" s="258"/>
      <c r="L77" s="258"/>
      <c r="M77" s="258"/>
      <c r="N77" s="258"/>
      <c r="O77" s="258"/>
      <c r="P77" s="258"/>
      <c r="Q77" s="258"/>
      <c r="R77" s="258"/>
      <c r="S77" s="258"/>
      <c r="T77" s="258">
        <f>U76</f>
        <v>-4.5</v>
      </c>
      <c r="U77">
        <f>IF(U76=0,0,VLOOKUP(T77,$B$6:$C$16,2,FALSE))</f>
        <v>-6.5</v>
      </c>
      <c r="V77" s="173">
        <f t="shared" si="73"/>
        <v>27.5</v>
      </c>
      <c r="W77">
        <f t="shared" si="74"/>
        <v>2</v>
      </c>
      <c r="X77" s="233">
        <f t="shared" si="68"/>
        <v>16.363636363636363</v>
      </c>
      <c r="Y77" s="233">
        <f t="shared" si="69"/>
        <v>16.363636363636363</v>
      </c>
    </row>
    <row r="78" spans="2:25" x14ac:dyDescent="0.2">
      <c r="B78" s="173">
        <f t="shared" ref="B78:B81" si="78">C77</f>
        <v>-6.5</v>
      </c>
      <c r="C78" s="173">
        <f t="shared" si="75"/>
        <v>-6.5508832511440982</v>
      </c>
      <c r="D78" s="173">
        <f t="shared" si="70"/>
        <v>5.0883251144098196E-2</v>
      </c>
      <c r="E78" s="173">
        <f t="shared" si="71"/>
        <v>2.5441625572049098E-2</v>
      </c>
      <c r="F78" s="173">
        <f t="shared" si="72"/>
        <v>30</v>
      </c>
      <c r="G78" s="331">
        <f t="shared" si="76"/>
        <v>3.8836578704900551E-2</v>
      </c>
      <c r="H78" s="302">
        <f t="shared" si="77"/>
        <v>1.2945526234966851E-3</v>
      </c>
      <c r="I78" s="258"/>
      <c r="J78" s="258"/>
      <c r="K78" s="258"/>
      <c r="L78" s="258"/>
      <c r="M78" s="258"/>
      <c r="N78" s="258"/>
      <c r="O78" s="258"/>
      <c r="P78" s="258"/>
      <c r="Q78" s="258"/>
      <c r="R78" s="258"/>
      <c r="S78" s="258"/>
      <c r="T78" s="258">
        <f t="shared" ref="T78:T82" si="79">U77</f>
        <v>-6.5</v>
      </c>
      <c r="U78">
        <f>IF(U77=0,0,VLOOKUP(T78,$B$6:$C$16,2,FALSE))</f>
        <v>-10</v>
      </c>
      <c r="V78" s="173">
        <f t="shared" si="73"/>
        <v>30</v>
      </c>
      <c r="W78">
        <f t="shared" si="74"/>
        <v>0</v>
      </c>
      <c r="X78" s="233">
        <f t="shared" si="68"/>
        <v>15.454545454545453</v>
      </c>
      <c r="Y78" s="233">
        <f t="shared" si="69"/>
        <v>17.27272727272727</v>
      </c>
    </row>
    <row r="79" spans="2:25" x14ac:dyDescent="0.2">
      <c r="B79" s="173">
        <f t="shared" si="78"/>
        <v>-6.5508832511440982</v>
      </c>
      <c r="C79" s="173">
        <f t="shared" si="75"/>
        <v>-6.5508832511440982</v>
      </c>
      <c r="D79" s="173">
        <f t="shared" si="70"/>
        <v>0</v>
      </c>
      <c r="E79" s="173">
        <f t="shared" si="71"/>
        <v>0</v>
      </c>
      <c r="F79" s="173">
        <f t="shared" si="72"/>
        <v>30</v>
      </c>
      <c r="G79" s="331">
        <f t="shared" si="76"/>
        <v>0</v>
      </c>
      <c r="H79" s="302">
        <f t="shared" si="77"/>
        <v>0</v>
      </c>
      <c r="I79" s="258"/>
      <c r="J79" s="258"/>
      <c r="K79" s="258"/>
      <c r="L79" s="258"/>
      <c r="M79" s="258"/>
      <c r="N79" s="258"/>
      <c r="O79" s="258"/>
      <c r="P79" s="258"/>
      <c r="Q79" s="258"/>
      <c r="R79" s="258"/>
      <c r="S79" s="258"/>
      <c r="T79" s="258">
        <f t="shared" si="79"/>
        <v>-10</v>
      </c>
      <c r="U79">
        <f>IF(U78=0,0,VLOOKUP(T79,$B$6:$C$16,2,FALSE))</f>
        <v>-13</v>
      </c>
      <c r="V79" s="173">
        <f t="shared" si="73"/>
        <v>30</v>
      </c>
      <c r="W79">
        <f t="shared" si="74"/>
        <v>0</v>
      </c>
      <c r="X79" s="233">
        <f t="shared" si="68"/>
        <v>17.27272727272727</v>
      </c>
      <c r="Y79" s="233">
        <f t="shared" si="69"/>
        <v>19.09090909090909</v>
      </c>
    </row>
    <row r="80" spans="2:25" x14ac:dyDescent="0.2">
      <c r="B80" s="173">
        <f t="shared" si="78"/>
        <v>-6.5508832511440982</v>
      </c>
      <c r="C80" s="173">
        <f t="shared" si="75"/>
        <v>-6.5508832511440982</v>
      </c>
      <c r="D80" s="173">
        <f t="shared" si="70"/>
        <v>0</v>
      </c>
      <c r="E80" s="173">
        <f t="shared" si="71"/>
        <v>0</v>
      </c>
      <c r="F80" s="173">
        <f t="shared" si="72"/>
        <v>30</v>
      </c>
      <c r="G80" s="331">
        <f t="shared" si="76"/>
        <v>0</v>
      </c>
      <c r="H80" s="302">
        <f t="shared" si="77"/>
        <v>0</v>
      </c>
      <c r="I80" s="258"/>
      <c r="J80" s="258"/>
      <c r="K80" s="258"/>
      <c r="L80" s="258"/>
      <c r="M80" s="258"/>
      <c r="N80" s="258"/>
      <c r="O80" s="258"/>
      <c r="P80" s="258"/>
      <c r="Q80" s="258"/>
      <c r="R80" s="258"/>
      <c r="S80" s="258"/>
      <c r="T80" s="258">
        <f t="shared" si="79"/>
        <v>-13</v>
      </c>
      <c r="U80">
        <f t="shared" ref="U80:U82" si="80">IF(U79=0,0,VLOOKUP(T80,$B$6:$C$16,2,FALSE))</f>
        <v>-15</v>
      </c>
      <c r="V80" s="173">
        <f t="shared" si="73"/>
        <v>30</v>
      </c>
      <c r="W80">
        <f t="shared" si="74"/>
        <v>0</v>
      </c>
      <c r="X80" s="233">
        <f t="shared" si="68"/>
        <v>17.27272727272727</v>
      </c>
      <c r="Y80" s="233">
        <f t="shared" si="69"/>
        <v>19.09090909090909</v>
      </c>
    </row>
    <row r="81" spans="2:25" x14ac:dyDescent="0.2">
      <c r="B81" s="173">
        <f t="shared" si="78"/>
        <v>-6.5508832511440982</v>
      </c>
      <c r="C81" s="173">
        <f t="shared" si="75"/>
        <v>0</v>
      </c>
      <c r="D81" s="173">
        <f t="shared" si="70"/>
        <v>0</v>
      </c>
      <c r="E81" s="173">
        <f t="shared" si="71"/>
        <v>0</v>
      </c>
      <c r="F81" s="173">
        <f t="shared" si="72"/>
        <v>0</v>
      </c>
      <c r="G81" s="331">
        <f t="shared" si="76"/>
        <v>0</v>
      </c>
      <c r="H81" s="302">
        <f t="shared" si="77"/>
        <v>0</v>
      </c>
      <c r="I81" s="258"/>
      <c r="J81" s="258"/>
      <c r="K81" s="258"/>
      <c r="L81" s="258"/>
      <c r="M81" s="258"/>
      <c r="N81" s="258"/>
      <c r="O81" s="258"/>
      <c r="P81" s="258"/>
      <c r="Q81" s="258"/>
      <c r="R81" s="258"/>
      <c r="S81" s="258"/>
      <c r="T81" s="258">
        <f t="shared" si="79"/>
        <v>-15</v>
      </c>
      <c r="U81">
        <f t="shared" si="80"/>
        <v>0</v>
      </c>
      <c r="V81" s="173">
        <f t="shared" si="73"/>
        <v>0</v>
      </c>
      <c r="W81">
        <f t="shared" si="74"/>
        <v>0</v>
      </c>
      <c r="X81" s="233">
        <f t="shared" si="68"/>
        <v>0</v>
      </c>
      <c r="Y81" s="233">
        <f t="shared" si="69"/>
        <v>0</v>
      </c>
    </row>
    <row r="82" spans="2:25" ht="13.5" thickBot="1" x14ac:dyDescent="0.25">
      <c r="G82" s="152"/>
      <c r="H82" s="138"/>
      <c r="I82" s="258"/>
      <c r="J82" s="258"/>
      <c r="K82" s="258"/>
      <c r="L82" s="258"/>
      <c r="M82" s="258"/>
      <c r="N82" s="258"/>
      <c r="O82" s="258"/>
      <c r="P82" s="258"/>
      <c r="Q82" s="258"/>
      <c r="R82" s="258"/>
      <c r="S82" s="258"/>
      <c r="T82" s="258">
        <f t="shared" si="79"/>
        <v>0</v>
      </c>
      <c r="U82">
        <f t="shared" si="80"/>
        <v>0</v>
      </c>
      <c r="V82" s="173">
        <f t="shared" si="73"/>
        <v>0</v>
      </c>
      <c r="W82">
        <f t="shared" si="74"/>
        <v>0</v>
      </c>
      <c r="X82" s="233">
        <f t="shared" si="68"/>
        <v>0</v>
      </c>
      <c r="Y82" s="233">
        <f t="shared" si="69"/>
        <v>0</v>
      </c>
    </row>
    <row r="83" spans="2:25" x14ac:dyDescent="0.2">
      <c r="G83" s="330">
        <f>SUM(G75:G81)</f>
        <v>235.63047388490509</v>
      </c>
      <c r="H83" s="300">
        <f>SUM(H75:H81)</f>
        <v>12.75571080834399</v>
      </c>
      <c r="I83" s="258"/>
      <c r="J83" s="258"/>
      <c r="K83" s="258"/>
      <c r="L83" s="258"/>
      <c r="M83" s="258"/>
      <c r="N83" s="258"/>
      <c r="O83" s="258"/>
      <c r="P83" s="258"/>
      <c r="Q83" s="258"/>
      <c r="R83" s="258"/>
      <c r="S83" s="258"/>
      <c r="T83" s="258"/>
    </row>
    <row r="84" spans="2:25" ht="15.75" x14ac:dyDescent="0.3">
      <c r="G84" s="256" t="s">
        <v>468</v>
      </c>
      <c r="H84" s="303">
        <f>G83/H83</f>
        <v>18.472547506389869</v>
      </c>
      <c r="I84" s="258"/>
      <c r="J84" s="258"/>
      <c r="K84" s="258"/>
      <c r="L84" s="258"/>
      <c r="M84" s="258"/>
      <c r="N84" s="258"/>
      <c r="O84" s="258"/>
      <c r="P84" s="258"/>
      <c r="Q84" s="258"/>
      <c r="R84" s="258"/>
      <c r="S84" s="258"/>
      <c r="T84" s="258"/>
    </row>
    <row r="85" spans="2:25" ht="16.5" thickBot="1" x14ac:dyDescent="0.35">
      <c r="G85" s="304" t="s">
        <v>469</v>
      </c>
      <c r="H85" s="305">
        <f>ATAN(TAN(H84*(PI()/180))/O22)/(PI()/180)</f>
        <v>16.198012514013062</v>
      </c>
      <c r="I85" s="258"/>
      <c r="J85" s="258"/>
      <c r="K85" s="258"/>
      <c r="L85" s="258"/>
      <c r="M85" s="258"/>
      <c r="N85" s="258"/>
      <c r="O85" s="258"/>
      <c r="P85" s="258"/>
      <c r="Q85" s="258"/>
      <c r="R85" s="258"/>
      <c r="S85" s="258"/>
      <c r="T85" s="258"/>
    </row>
    <row r="86" spans="2:25" x14ac:dyDescent="0.2">
      <c r="I86" s="258"/>
      <c r="J86" s="258"/>
      <c r="K86" s="258"/>
      <c r="L86" s="258"/>
      <c r="M86" s="258"/>
      <c r="N86" s="258"/>
      <c r="O86" s="258"/>
      <c r="P86" s="258"/>
      <c r="Q86" s="258"/>
      <c r="R86" s="258"/>
      <c r="S86" s="258"/>
      <c r="T86" s="258"/>
    </row>
    <row r="87" spans="2:25" x14ac:dyDescent="0.2">
      <c r="B87" s="258" t="s">
        <v>509</v>
      </c>
      <c r="I87" s="258"/>
      <c r="J87" s="258"/>
      <c r="K87" s="258"/>
      <c r="L87" s="258"/>
      <c r="M87" s="258"/>
      <c r="N87" s="258"/>
      <c r="O87" s="258"/>
      <c r="P87" s="258"/>
      <c r="Q87" s="258"/>
      <c r="R87" s="258"/>
      <c r="S87" s="258"/>
      <c r="T87" s="258"/>
    </row>
    <row r="88" spans="2:25" ht="13.5" thickBot="1" x14ac:dyDescent="0.25">
      <c r="B88" s="258" t="s">
        <v>465</v>
      </c>
      <c r="C88" s="258" t="s">
        <v>466</v>
      </c>
      <c r="I88" s="258"/>
      <c r="J88" s="258"/>
      <c r="K88" s="258"/>
      <c r="L88" s="258"/>
      <c r="M88" s="258"/>
      <c r="N88" s="258"/>
      <c r="O88" s="258"/>
      <c r="P88" s="258"/>
      <c r="Q88" s="258"/>
      <c r="R88" s="258"/>
      <c r="S88" s="258"/>
      <c r="T88" s="258"/>
    </row>
    <row r="89" spans="2:25" x14ac:dyDescent="0.2">
      <c r="B89" s="173">
        <f>IF(B75-$C$3&lt;0,0,B75-$C$3)</f>
        <v>0</v>
      </c>
      <c r="C89" s="173">
        <f>D75-B89</f>
        <v>0.5</v>
      </c>
      <c r="D89" s="233">
        <f t="shared" ref="D89:D95" si="81">X75</f>
        <v>13.636363636363635</v>
      </c>
      <c r="E89" s="233">
        <f>Y75-10</f>
        <v>3.6363636363636349</v>
      </c>
      <c r="F89" s="233">
        <f>IF(D75=0,0,(B89*D89+C89*E89)/D75)</f>
        <v>3.6363636363636349</v>
      </c>
      <c r="G89" s="330">
        <f>D75*E75*F89</f>
        <v>8.7288786384438115</v>
      </c>
      <c r="H89" s="300">
        <f>D75*E75</f>
        <v>2.4004416255720491</v>
      </c>
      <c r="I89" s="258"/>
      <c r="J89" s="258"/>
      <c r="K89" s="258"/>
      <c r="L89" s="258"/>
      <c r="M89" s="258"/>
      <c r="N89" s="258"/>
      <c r="O89" s="258"/>
      <c r="P89" s="258"/>
      <c r="Q89" s="258"/>
      <c r="R89" s="258"/>
      <c r="S89" s="258"/>
      <c r="T89" s="258"/>
    </row>
    <row r="90" spans="2:25" x14ac:dyDescent="0.2">
      <c r="B90" s="173">
        <f t="shared" ref="B90:B95" si="82">IF(B76-$C$3&lt;0,0,B76-$C$3)</f>
        <v>0</v>
      </c>
      <c r="C90" s="173">
        <f t="shared" ref="C90:C95" si="83">D76-B90</f>
        <v>2.5</v>
      </c>
      <c r="D90" s="233">
        <f t="shared" si="81"/>
        <v>10</v>
      </c>
      <c r="E90" s="233">
        <f t="shared" ref="E90:E95" si="84">Y76-10</f>
        <v>0</v>
      </c>
      <c r="F90" s="233">
        <f t="shared" ref="F90:F95" si="85">IF(D76=0,0,(B90*D90+C90*E90)/D76)</f>
        <v>0</v>
      </c>
      <c r="G90" s="331">
        <f t="shared" ref="G90:G95" si="86">D76*E76*F90</f>
        <v>0</v>
      </c>
      <c r="H90" s="302">
        <f t="shared" ref="H90:H95" si="87">D76*E76</f>
        <v>8.2522081278602464</v>
      </c>
      <c r="I90" s="258"/>
      <c r="J90" s="258"/>
      <c r="K90" s="258"/>
      <c r="L90" s="258"/>
      <c r="M90" s="258"/>
      <c r="N90" s="258"/>
      <c r="O90" s="258"/>
      <c r="P90" s="258"/>
      <c r="Q90" s="258"/>
      <c r="R90" s="258"/>
      <c r="S90" s="258"/>
      <c r="T90" s="258"/>
    </row>
    <row r="91" spans="2:25" x14ac:dyDescent="0.2">
      <c r="B91" s="173">
        <f t="shared" si="82"/>
        <v>0</v>
      </c>
      <c r="C91" s="173">
        <f t="shared" si="83"/>
        <v>2</v>
      </c>
      <c r="D91" s="233">
        <f t="shared" si="81"/>
        <v>16.363636363636363</v>
      </c>
      <c r="E91" s="233">
        <f t="shared" si="84"/>
        <v>6.3636363636363633</v>
      </c>
      <c r="F91" s="233">
        <f t="shared" si="85"/>
        <v>6.3636363636363633</v>
      </c>
      <c r="G91" s="331">
        <f t="shared" si="86"/>
        <v>13.374877741833977</v>
      </c>
      <c r="H91" s="302">
        <f t="shared" si="87"/>
        <v>2.1017665022881964</v>
      </c>
      <c r="I91" s="258"/>
      <c r="J91" s="258"/>
      <c r="K91" s="258"/>
      <c r="L91" s="258"/>
      <c r="M91" s="258"/>
      <c r="N91" s="258"/>
      <c r="O91" s="258"/>
      <c r="P91" s="258"/>
      <c r="Q91" s="258"/>
      <c r="R91" s="258"/>
      <c r="S91" s="258"/>
      <c r="T91" s="258"/>
    </row>
    <row r="92" spans="2:25" x14ac:dyDescent="0.2">
      <c r="B92" s="173">
        <f t="shared" si="82"/>
        <v>0</v>
      </c>
      <c r="C92" s="173">
        <f t="shared" si="83"/>
        <v>5.0883251144098196E-2</v>
      </c>
      <c r="D92" s="233">
        <f t="shared" si="81"/>
        <v>15.454545454545453</v>
      </c>
      <c r="E92" s="233">
        <f t="shared" si="84"/>
        <v>7.2727272727272698</v>
      </c>
      <c r="F92" s="233">
        <f t="shared" si="85"/>
        <v>7.2727272727272698</v>
      </c>
      <c r="G92" s="331">
        <f t="shared" si="86"/>
        <v>9.4149281708849793E-3</v>
      </c>
      <c r="H92" s="302">
        <f t="shared" si="87"/>
        <v>1.2945526234966851E-3</v>
      </c>
      <c r="I92" s="258"/>
      <c r="J92" s="258"/>
      <c r="K92" s="258"/>
      <c r="L92" s="258"/>
      <c r="M92" s="258"/>
      <c r="N92" s="258"/>
      <c r="O92" s="258"/>
      <c r="P92" s="258"/>
      <c r="Q92" s="258"/>
      <c r="R92" s="258"/>
      <c r="S92" s="258"/>
      <c r="T92" s="258"/>
    </row>
    <row r="93" spans="2:25" x14ac:dyDescent="0.2">
      <c r="B93" s="173">
        <f t="shared" si="82"/>
        <v>0</v>
      </c>
      <c r="C93" s="173">
        <f t="shared" si="83"/>
        <v>0</v>
      </c>
      <c r="D93" s="233">
        <f t="shared" si="81"/>
        <v>17.27272727272727</v>
      </c>
      <c r="E93" s="233">
        <f t="shared" si="84"/>
        <v>9.0909090909090899</v>
      </c>
      <c r="F93" s="233">
        <f t="shared" si="85"/>
        <v>0</v>
      </c>
      <c r="G93" s="331">
        <f t="shared" si="86"/>
        <v>0</v>
      </c>
      <c r="H93" s="302">
        <f t="shared" si="87"/>
        <v>0</v>
      </c>
      <c r="I93" s="258"/>
      <c r="J93" s="258"/>
      <c r="K93" s="258"/>
      <c r="L93" s="258"/>
      <c r="M93" s="258"/>
      <c r="N93" s="258"/>
      <c r="O93" s="258"/>
      <c r="P93" s="258"/>
      <c r="Q93" s="258"/>
      <c r="R93" s="258"/>
      <c r="S93" s="258"/>
      <c r="T93" s="258"/>
    </row>
    <row r="94" spans="2:25" x14ac:dyDescent="0.2">
      <c r="B94" s="173">
        <f t="shared" si="82"/>
        <v>0</v>
      </c>
      <c r="C94" s="173">
        <f t="shared" si="83"/>
        <v>0</v>
      </c>
      <c r="D94" s="233">
        <f t="shared" si="81"/>
        <v>17.27272727272727</v>
      </c>
      <c r="E94" s="233">
        <f t="shared" si="84"/>
        <v>9.0909090909090899</v>
      </c>
      <c r="F94" s="233">
        <f t="shared" si="85"/>
        <v>0</v>
      </c>
      <c r="G94" s="331">
        <f t="shared" si="86"/>
        <v>0</v>
      </c>
      <c r="H94" s="302">
        <f t="shared" si="87"/>
        <v>0</v>
      </c>
      <c r="I94" s="258"/>
      <c r="J94" s="258"/>
      <c r="K94" s="258"/>
      <c r="L94" s="258"/>
      <c r="M94" s="258"/>
      <c r="N94" s="258"/>
      <c r="O94" s="258"/>
      <c r="P94" s="258"/>
      <c r="Q94" s="258"/>
      <c r="R94" s="258"/>
      <c r="S94" s="258"/>
      <c r="T94" s="258"/>
    </row>
    <row r="95" spans="2:25" x14ac:dyDescent="0.2">
      <c r="B95" s="173">
        <f t="shared" si="82"/>
        <v>0</v>
      </c>
      <c r="C95" s="173">
        <f t="shared" si="83"/>
        <v>0</v>
      </c>
      <c r="D95" s="233">
        <f t="shared" si="81"/>
        <v>0</v>
      </c>
      <c r="E95" s="233">
        <f t="shared" si="84"/>
        <v>-10</v>
      </c>
      <c r="F95" s="233">
        <f t="shared" si="85"/>
        <v>0</v>
      </c>
      <c r="G95" s="331">
        <f t="shared" si="86"/>
        <v>0</v>
      </c>
      <c r="H95" s="302">
        <f t="shared" si="87"/>
        <v>0</v>
      </c>
      <c r="I95" s="258"/>
      <c r="J95" s="258"/>
      <c r="K95" s="258"/>
      <c r="L95" s="258"/>
      <c r="M95" s="258"/>
      <c r="N95" s="258"/>
      <c r="O95" s="258"/>
      <c r="P95" s="258"/>
      <c r="Q95" s="258"/>
      <c r="R95" s="258"/>
      <c r="S95" s="258"/>
      <c r="T95" s="258"/>
    </row>
    <row r="96" spans="2:25" ht="13.5" thickBot="1" x14ac:dyDescent="0.25">
      <c r="G96" s="163"/>
      <c r="H96" s="332"/>
      <c r="I96" s="258"/>
      <c r="J96" s="258"/>
      <c r="K96" s="258"/>
      <c r="L96" s="258"/>
      <c r="M96" s="258"/>
      <c r="N96" s="258"/>
      <c r="O96" s="258"/>
      <c r="P96" s="258"/>
      <c r="Q96" s="258"/>
      <c r="R96" s="258"/>
      <c r="S96" s="258"/>
      <c r="T96" s="258"/>
    </row>
    <row r="97" spans="2:20" x14ac:dyDescent="0.2">
      <c r="G97" s="330">
        <f>SUM(G89:G95)</f>
        <v>22.113171308448671</v>
      </c>
      <c r="H97" s="300">
        <f>SUM(H89:H95)</f>
        <v>12.75571080834399</v>
      </c>
      <c r="I97" s="258"/>
      <c r="J97" s="258"/>
      <c r="K97" s="258"/>
      <c r="L97" s="258"/>
      <c r="M97" s="258"/>
      <c r="N97" s="258"/>
      <c r="O97" s="258"/>
      <c r="P97" s="258"/>
      <c r="Q97" s="258"/>
      <c r="R97" s="258"/>
      <c r="S97" s="258"/>
      <c r="T97" s="258"/>
    </row>
    <row r="98" spans="2:20" ht="13.5" thickBot="1" x14ac:dyDescent="0.25">
      <c r="G98" s="304" t="s">
        <v>467</v>
      </c>
      <c r="H98" s="305">
        <f>G97/H97</f>
        <v>1.7335898908889982</v>
      </c>
      <c r="I98" s="258"/>
      <c r="J98" s="258"/>
      <c r="K98" s="258"/>
      <c r="L98" s="258"/>
      <c r="M98" s="258"/>
      <c r="N98" s="258"/>
      <c r="O98" s="258"/>
      <c r="P98" s="258"/>
      <c r="Q98" s="258"/>
      <c r="R98" s="258"/>
      <c r="S98" s="258"/>
      <c r="T98" s="258"/>
    </row>
    <row r="99" spans="2:20" x14ac:dyDescent="0.2">
      <c r="I99" s="258"/>
      <c r="J99" s="258"/>
      <c r="K99" s="258"/>
      <c r="L99" s="258"/>
      <c r="M99" s="258"/>
      <c r="N99" s="258"/>
      <c r="O99" s="258"/>
      <c r="P99" s="258"/>
      <c r="Q99" s="258"/>
      <c r="R99" s="258"/>
      <c r="S99" s="258"/>
      <c r="T99" s="258"/>
    </row>
    <row r="100" spans="2:20" x14ac:dyDescent="0.2">
      <c r="I100" s="258"/>
      <c r="J100" s="258"/>
      <c r="K100" s="258"/>
      <c r="L100" s="258"/>
      <c r="M100" s="258"/>
      <c r="N100" s="258"/>
      <c r="O100" s="258"/>
      <c r="P100" s="258"/>
      <c r="Q100" s="258"/>
      <c r="R100" s="258"/>
      <c r="S100" s="258"/>
      <c r="T100" s="258"/>
    </row>
    <row r="101" spans="2:20" x14ac:dyDescent="0.2">
      <c r="B101" s="258" t="s">
        <v>510</v>
      </c>
      <c r="I101" s="258"/>
      <c r="J101" s="258"/>
      <c r="K101" s="258"/>
      <c r="L101" s="258"/>
      <c r="M101" s="258"/>
      <c r="N101" s="258"/>
      <c r="O101" s="258"/>
      <c r="P101" s="258"/>
      <c r="Q101" s="258"/>
      <c r="R101" s="258"/>
      <c r="S101" s="258"/>
      <c r="T101" s="258"/>
    </row>
    <row r="102" spans="2:20" x14ac:dyDescent="0.2">
      <c r="G102" s="173">
        <f t="shared" ref="G102:G108" si="88">D75*E75*W75</f>
        <v>0</v>
      </c>
      <c r="H102" s="173">
        <f>D75*E75</f>
        <v>2.4004416255720491</v>
      </c>
      <c r="I102" s="258"/>
      <c r="J102" s="258"/>
      <c r="K102" s="258"/>
      <c r="L102" s="258"/>
      <c r="M102" s="258"/>
      <c r="N102" s="258"/>
      <c r="O102" s="258"/>
      <c r="P102" s="258"/>
      <c r="Q102" s="258"/>
      <c r="R102" s="258"/>
      <c r="S102" s="258"/>
      <c r="T102" s="258"/>
    </row>
    <row r="103" spans="2:20" x14ac:dyDescent="0.2">
      <c r="G103" s="173">
        <f t="shared" si="88"/>
        <v>8.2522081278602464</v>
      </c>
      <c r="H103" s="173">
        <f t="shared" ref="H103:H108" si="89">D76*E76</f>
        <v>8.2522081278602464</v>
      </c>
      <c r="I103" s="258"/>
      <c r="J103" s="258"/>
      <c r="K103" s="258"/>
      <c r="L103" s="258"/>
      <c r="M103" s="258"/>
      <c r="N103" s="258"/>
      <c r="O103" s="258"/>
      <c r="P103" s="258"/>
      <c r="Q103" s="258"/>
      <c r="R103" s="258"/>
      <c r="S103" s="258"/>
      <c r="T103" s="258"/>
    </row>
    <row r="104" spans="2:20" x14ac:dyDescent="0.2">
      <c r="G104" s="173">
        <f t="shared" si="88"/>
        <v>4.2035330045763928</v>
      </c>
      <c r="H104" s="173">
        <f t="shared" si="89"/>
        <v>2.1017665022881964</v>
      </c>
      <c r="I104" s="258"/>
      <c r="J104" s="258"/>
      <c r="K104" s="258"/>
      <c r="L104" s="258"/>
      <c r="M104" s="258"/>
      <c r="N104" s="258"/>
      <c r="O104" s="258"/>
      <c r="P104" s="258"/>
      <c r="Q104" s="258"/>
      <c r="R104" s="258"/>
      <c r="S104" s="258"/>
      <c r="T104" s="258"/>
    </row>
    <row r="105" spans="2:20" x14ac:dyDescent="0.2">
      <c r="G105" s="173">
        <f t="shared" si="88"/>
        <v>0</v>
      </c>
      <c r="H105" s="173">
        <f t="shared" si="89"/>
        <v>1.2945526234966851E-3</v>
      </c>
      <c r="I105" s="258"/>
      <c r="J105" s="258"/>
      <c r="K105" s="258"/>
      <c r="L105" s="258"/>
      <c r="M105" s="258"/>
      <c r="N105" s="258"/>
      <c r="O105" s="258"/>
      <c r="P105" s="258"/>
      <c r="Q105" s="258"/>
      <c r="R105" s="258"/>
      <c r="S105" s="258"/>
      <c r="T105" s="258"/>
    </row>
    <row r="106" spans="2:20" x14ac:dyDescent="0.2">
      <c r="G106" s="173">
        <f t="shared" si="88"/>
        <v>0</v>
      </c>
      <c r="H106" s="173">
        <f t="shared" si="89"/>
        <v>0</v>
      </c>
      <c r="I106" s="258"/>
      <c r="J106" s="258"/>
      <c r="K106" s="258"/>
      <c r="L106" s="258"/>
      <c r="M106" s="258"/>
      <c r="N106" s="258"/>
      <c r="O106" s="258"/>
      <c r="P106" s="258"/>
      <c r="Q106" s="258"/>
      <c r="R106" s="258"/>
      <c r="S106" s="258"/>
      <c r="T106" s="258"/>
    </row>
    <row r="107" spans="2:20" x14ac:dyDescent="0.2">
      <c r="G107" s="173">
        <f t="shared" si="88"/>
        <v>0</v>
      </c>
      <c r="H107" s="173">
        <f t="shared" si="89"/>
        <v>0</v>
      </c>
      <c r="I107" s="258"/>
      <c r="J107" s="258"/>
      <c r="K107" s="258"/>
      <c r="L107" s="258"/>
      <c r="M107" s="258"/>
      <c r="N107" s="258"/>
      <c r="O107" s="258"/>
      <c r="P107" s="258"/>
      <c r="Q107" s="258"/>
      <c r="R107" s="258"/>
      <c r="S107" s="258"/>
      <c r="T107" s="258"/>
    </row>
    <row r="108" spans="2:20" x14ac:dyDescent="0.2">
      <c r="G108" s="173">
        <f t="shared" si="88"/>
        <v>0</v>
      </c>
      <c r="H108" s="173">
        <f t="shared" si="89"/>
        <v>0</v>
      </c>
      <c r="I108" s="258"/>
      <c r="J108" s="258"/>
      <c r="K108" s="258"/>
      <c r="L108" s="258"/>
      <c r="M108" s="258"/>
      <c r="N108" s="258"/>
      <c r="O108" s="258"/>
      <c r="P108" s="258"/>
      <c r="Q108" s="258"/>
      <c r="R108" s="258"/>
      <c r="S108" s="258"/>
      <c r="T108" s="258"/>
    </row>
    <row r="109" spans="2:20" x14ac:dyDescent="0.2">
      <c r="I109" s="258"/>
      <c r="J109" s="258"/>
      <c r="K109" s="258"/>
      <c r="L109" s="258"/>
      <c r="M109" s="258"/>
      <c r="N109" s="258"/>
      <c r="O109" s="258"/>
      <c r="P109" s="258"/>
      <c r="Q109" s="258"/>
      <c r="R109" s="258"/>
      <c r="S109" s="258"/>
      <c r="T109" s="258"/>
    </row>
    <row r="110" spans="2:20" x14ac:dyDescent="0.2">
      <c r="G110" s="173">
        <f>SUM(G102:G108)</f>
        <v>12.455741132436639</v>
      </c>
      <c r="H110" s="173">
        <f>SUM(H102:H108)</f>
        <v>12.75571080834399</v>
      </c>
      <c r="I110" s="258"/>
      <c r="J110" s="258"/>
      <c r="K110" s="258"/>
      <c r="L110" s="258"/>
      <c r="M110" s="258"/>
      <c r="N110" s="258"/>
      <c r="O110" s="258"/>
      <c r="P110" s="258"/>
      <c r="Q110" s="258"/>
      <c r="R110" s="258"/>
      <c r="S110" s="258"/>
      <c r="T110" s="258"/>
    </row>
    <row r="111" spans="2:20" x14ac:dyDescent="0.2">
      <c r="G111" s="258" t="s">
        <v>471</v>
      </c>
      <c r="H111" s="173">
        <f>G110/H110</f>
        <v>0.97648349978966842</v>
      </c>
      <c r="I111" s="258"/>
      <c r="J111" s="258"/>
      <c r="K111" s="258"/>
      <c r="L111" s="258"/>
      <c r="M111" s="258"/>
      <c r="N111" s="258"/>
      <c r="O111" s="258"/>
      <c r="P111" s="258"/>
      <c r="Q111" s="258"/>
      <c r="R111" s="258"/>
      <c r="S111" s="258"/>
      <c r="T111" s="258"/>
    </row>
    <row r="112" spans="2:20" x14ac:dyDescent="0.2">
      <c r="G112" s="258" t="s">
        <v>512</v>
      </c>
      <c r="H112" s="173">
        <f>H111/P22</f>
        <v>0.61030218736854269</v>
      </c>
      <c r="I112" s="258"/>
      <c r="J112" s="258"/>
      <c r="K112" s="258"/>
      <c r="L112" s="258"/>
      <c r="M112" s="258"/>
      <c r="N112" s="258"/>
      <c r="O112" s="258"/>
      <c r="P112" s="258"/>
      <c r="Q112" s="258"/>
      <c r="R112" s="258"/>
      <c r="S112" s="258"/>
      <c r="T112" s="258"/>
    </row>
  </sheetData>
  <dataValidations disablePrompts="1" count="1">
    <dataValidation type="list" allowBlank="1" showInputMessage="1" showErrorMessage="1" sqref="E6:E16 E23:E31">
      <formula1>$Z$6:$Z$12</formula1>
    </dataValidation>
  </dataValidation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9"/>
  <sheetViews>
    <sheetView zoomScale="85" zoomScaleNormal="85" workbookViewId="0">
      <selection activeCell="M32" sqref="M32"/>
    </sheetView>
  </sheetViews>
  <sheetFormatPr defaultRowHeight="12.75" x14ac:dyDescent="0.2"/>
  <cols>
    <col min="4" max="4" width="10" customWidth="1"/>
    <col min="5" max="5" width="9.140625" style="340"/>
    <col min="8" max="8" width="9.7109375" bestFit="1" customWidth="1"/>
    <col min="11" max="11" width="9.140625" style="340"/>
    <col min="18" max="18" width="9.140625" style="340"/>
    <col min="27" max="27" width="9.140625" style="340"/>
  </cols>
  <sheetData>
    <row r="1" spans="1:32" x14ac:dyDescent="0.2">
      <c r="A1" s="410"/>
      <c r="B1" s="385" t="s">
        <v>638</v>
      </c>
    </row>
    <row r="2" spans="1:32" x14ac:dyDescent="0.2">
      <c r="A2" s="77" t="s">
        <v>473</v>
      </c>
      <c r="E2" s="341" t="s">
        <v>157</v>
      </c>
      <c r="K2" s="341" t="s">
        <v>154</v>
      </c>
      <c r="R2" s="341" t="s">
        <v>182</v>
      </c>
      <c r="AC2" t="s">
        <v>352</v>
      </c>
      <c r="AF2" t="s">
        <v>353</v>
      </c>
    </row>
    <row r="3" spans="1:32" x14ac:dyDescent="0.2">
      <c r="A3" s="258" t="s">
        <v>57</v>
      </c>
      <c r="B3" s="233">
        <f>'Tabel C2 Samenvatting'!C6</f>
        <v>1817.5451612903228</v>
      </c>
      <c r="C3" s="258" t="s">
        <v>63</v>
      </c>
      <c r="E3" s="340" t="s">
        <v>438</v>
      </c>
      <c r="F3" s="173">
        <f>MAX(Grondeigenschappen!C2,Grondeigenschappen!F2)</f>
        <v>0.5</v>
      </c>
      <c r="G3" s="258" t="s">
        <v>196</v>
      </c>
      <c r="K3" s="342" t="s">
        <v>438</v>
      </c>
      <c r="L3" s="173">
        <f>MAX(Grondeigenschappen!C2,Grondeigenschappen!F2)</f>
        <v>0.5</v>
      </c>
      <c r="M3" s="258" t="s">
        <v>196</v>
      </c>
      <c r="R3" s="342" t="s">
        <v>438</v>
      </c>
      <c r="S3" s="173">
        <f>MAX(Grondeigenschappen!C2,Grondeigenschappen!F2)</f>
        <v>0.5</v>
      </c>
      <c r="T3" s="258" t="s">
        <v>196</v>
      </c>
    </row>
    <row r="4" spans="1:32" ht="15.75" x14ac:dyDescent="0.3">
      <c r="A4" s="258" t="s">
        <v>183</v>
      </c>
      <c r="B4" s="233">
        <f>'Tabel C2 Samenvatting'!C7</f>
        <v>120.64738715188984</v>
      </c>
      <c r="C4" s="258" t="s">
        <v>63</v>
      </c>
      <c r="E4" s="342" t="s">
        <v>458</v>
      </c>
      <c r="H4" s="409">
        <v>32</v>
      </c>
      <c r="I4" s="258" t="s">
        <v>193</v>
      </c>
      <c r="K4" s="342" t="s">
        <v>481</v>
      </c>
      <c r="N4" s="408">
        <v>-1.5</v>
      </c>
      <c r="O4" s="258" t="s">
        <v>482</v>
      </c>
      <c r="R4" s="342" t="s">
        <v>481</v>
      </c>
      <c r="U4" s="408">
        <v>-1.5</v>
      </c>
      <c r="V4" s="258" t="s">
        <v>482</v>
      </c>
      <c r="AB4">
        <v>0</v>
      </c>
      <c r="AC4" s="243">
        <v>0.73</v>
      </c>
      <c r="AE4">
        <v>0</v>
      </c>
      <c r="AF4" s="243">
        <v>0.40500000000000003</v>
      </c>
    </row>
    <row r="5" spans="1:32" x14ac:dyDescent="0.2">
      <c r="A5" s="258" t="s">
        <v>428</v>
      </c>
      <c r="B5" s="338">
        <f>'Tabel C2 Samenvatting'!C14</f>
        <v>3.5593493184102569</v>
      </c>
      <c r="C5" s="258" t="s">
        <v>2</v>
      </c>
      <c r="I5" s="258"/>
      <c r="K5" s="342" t="s">
        <v>505</v>
      </c>
      <c r="L5" s="173">
        <f>L3-N4</f>
        <v>2</v>
      </c>
      <c r="M5" s="258" t="s">
        <v>2</v>
      </c>
      <c r="N5" s="258" t="s">
        <v>483</v>
      </c>
      <c r="R5" s="342" t="s">
        <v>505</v>
      </c>
      <c r="S5" s="173">
        <f>S3-U4</f>
        <v>2</v>
      </c>
      <c r="T5" s="258" t="s">
        <v>2</v>
      </c>
      <c r="AB5">
        <v>2.5</v>
      </c>
      <c r="AC5" s="243">
        <v>0.755</v>
      </c>
      <c r="AE5">
        <v>2.5</v>
      </c>
      <c r="AF5" s="243">
        <v>0.40600000000000003</v>
      </c>
    </row>
    <row r="6" spans="1:32" x14ac:dyDescent="0.2">
      <c r="A6" s="258" t="s">
        <v>98</v>
      </c>
      <c r="B6" s="338">
        <f>'Tabel C2 Samenvatting'!C13</f>
        <v>4.25</v>
      </c>
      <c r="C6" s="258" t="s">
        <v>2</v>
      </c>
      <c r="E6" s="342" t="s">
        <v>460</v>
      </c>
      <c r="F6" s="173">
        <f>AC34</f>
        <v>1.5991069007678778</v>
      </c>
      <c r="G6" s="258" t="s">
        <v>8</v>
      </c>
      <c r="K6" s="340" t="str">
        <f>IF(N4&lt;F8,"Invloedsdiepte reikt niet tot de cohesieve laag","Invloedsdiepte Ze reikt voorbij de eerste cohesieve laag")</f>
        <v>Invloedsdiepte Ze reikt voorbij de eerste cohesieve laag</v>
      </c>
      <c r="AB6">
        <v>5</v>
      </c>
      <c r="AC6" s="243">
        <v>0.78500000000000003</v>
      </c>
      <c r="AE6">
        <v>5</v>
      </c>
      <c r="AF6" s="243">
        <v>0.40699999999999997</v>
      </c>
    </row>
    <row r="7" spans="1:32" x14ac:dyDescent="0.2">
      <c r="A7" s="258" t="s">
        <v>100</v>
      </c>
      <c r="B7" s="173">
        <f>'Tabel C2 Samenvatting'!C15</f>
        <v>15.127234603243592</v>
      </c>
      <c r="C7" s="258" t="s">
        <v>433</v>
      </c>
      <c r="E7" s="342" t="s">
        <v>461</v>
      </c>
      <c r="F7" s="338">
        <f>F6*B5</f>
        <v>5.6917800573132844</v>
      </c>
      <c r="G7" s="258" t="s">
        <v>2</v>
      </c>
      <c r="K7" s="433" t="str">
        <f>IF(N4&lt;F8,"Geen controle benodigd","Controle benodigd")</f>
        <v>Controle benodigd</v>
      </c>
      <c r="L7" s="433"/>
      <c r="R7" s="342" t="s">
        <v>524</v>
      </c>
      <c r="S7" s="233">
        <f>B3+B7*1.2*S24</f>
        <v>2444.6377957520572</v>
      </c>
      <c r="T7" s="258" t="s">
        <v>63</v>
      </c>
      <c r="U7" s="258" t="s">
        <v>525</v>
      </c>
      <c r="AB7">
        <v>7.5</v>
      </c>
      <c r="AC7" s="243">
        <v>0.83</v>
      </c>
      <c r="AE7">
        <v>7.5</v>
      </c>
      <c r="AF7" s="243">
        <v>0.40899999999999997</v>
      </c>
    </row>
    <row r="8" spans="1:32" x14ac:dyDescent="0.2">
      <c r="A8" s="258" t="s">
        <v>457</v>
      </c>
      <c r="B8" s="173">
        <f>B4/B3</f>
        <v>6.6379306397118143E-2</v>
      </c>
      <c r="C8" s="258" t="s">
        <v>8</v>
      </c>
      <c r="F8" s="173">
        <f>F3-F7</f>
        <v>-5.1917800573132844</v>
      </c>
      <c r="G8" s="258" t="s">
        <v>196</v>
      </c>
      <c r="R8" s="342" t="s">
        <v>517</v>
      </c>
      <c r="S8" s="173">
        <f>B4/S7</f>
        <v>4.9351845644182407E-2</v>
      </c>
      <c r="T8" s="258" t="s">
        <v>8</v>
      </c>
      <c r="AB8">
        <v>10</v>
      </c>
      <c r="AC8" s="243">
        <v>0.88</v>
      </c>
      <c r="AE8">
        <v>10</v>
      </c>
      <c r="AF8" s="243">
        <v>0.42</v>
      </c>
    </row>
    <row r="9" spans="1:32" x14ac:dyDescent="0.2">
      <c r="K9" s="342" t="s">
        <v>479</v>
      </c>
      <c r="L9" s="173">
        <f>B5+2*L5*TAN(8*PI()/180)</f>
        <v>4.1215126572198226</v>
      </c>
      <c r="M9" s="258" t="s">
        <v>2</v>
      </c>
      <c r="N9" s="258" t="s">
        <v>484</v>
      </c>
      <c r="AB9">
        <v>12.5</v>
      </c>
      <c r="AC9" s="243">
        <v>0.93500000000000005</v>
      </c>
      <c r="AE9">
        <v>12.5</v>
      </c>
      <c r="AF9" s="243">
        <v>0.435</v>
      </c>
    </row>
    <row r="10" spans="1:32" ht="15.75" x14ac:dyDescent="0.3">
      <c r="E10" s="342" t="s">
        <v>468</v>
      </c>
      <c r="F10" s="173">
        <f>Grondeigenschappen!G51</f>
        <v>27.567391763638561</v>
      </c>
      <c r="G10" s="258" t="s">
        <v>193</v>
      </c>
      <c r="K10" s="342" t="s">
        <v>480</v>
      </c>
      <c r="L10" s="173">
        <f>B6+2*L5*TAN(8*PI()/180)</f>
        <v>4.8121633388095661</v>
      </c>
      <c r="M10" s="258" t="s">
        <v>2</v>
      </c>
      <c r="N10" s="258" t="s">
        <v>485</v>
      </c>
      <c r="R10" s="342" t="s">
        <v>479</v>
      </c>
      <c r="S10" s="173">
        <f>B5+2*S5*TAN(8*PI()/180)</f>
        <v>4.1215126572198226</v>
      </c>
      <c r="T10" s="258" t="s">
        <v>2</v>
      </c>
      <c r="U10" s="258" t="s">
        <v>484</v>
      </c>
      <c r="AC10" s="243"/>
      <c r="AF10" s="243"/>
    </row>
    <row r="11" spans="1:32" ht="15.75" x14ac:dyDescent="0.3">
      <c r="A11" t="s">
        <v>520</v>
      </c>
      <c r="B11" s="408">
        <v>0</v>
      </c>
      <c r="C11" t="s">
        <v>196</v>
      </c>
      <c r="E11" s="342" t="s">
        <v>469</v>
      </c>
      <c r="F11" s="173">
        <f>Grondeigenschappen!G52</f>
        <v>24.416516738535666</v>
      </c>
      <c r="G11" s="258" t="s">
        <v>193</v>
      </c>
      <c r="K11" s="342" t="s">
        <v>488</v>
      </c>
      <c r="L11" s="173">
        <f>L9*L10</f>
        <v>19.833392109512829</v>
      </c>
      <c r="M11" s="258" t="s">
        <v>433</v>
      </c>
      <c r="N11" s="258" t="s">
        <v>495</v>
      </c>
      <c r="R11" s="342" t="s">
        <v>480</v>
      </c>
      <c r="S11" s="173">
        <f>B6+2*S5*TAN(8*PI()/180)</f>
        <v>4.8121633388095661</v>
      </c>
      <c r="T11" s="258" t="s">
        <v>2</v>
      </c>
      <c r="U11" s="258" t="s">
        <v>485</v>
      </c>
      <c r="W11" s="258" t="s">
        <v>497</v>
      </c>
      <c r="AB11">
        <v>15</v>
      </c>
      <c r="AC11" s="243">
        <v>1</v>
      </c>
      <c r="AE11">
        <v>15</v>
      </c>
      <c r="AF11" s="243">
        <v>0.44900000000000001</v>
      </c>
    </row>
    <row r="12" spans="1:32" ht="15.75" x14ac:dyDescent="0.3">
      <c r="A12" s="347" t="str">
        <f>IF(B11&gt;0,"LET OP! Het maaiveld wordt opgehoogd","")</f>
        <v/>
      </c>
      <c r="E12" s="342" t="s">
        <v>470</v>
      </c>
      <c r="F12" s="173">
        <f>Grondeigenschappen!J52</f>
        <v>0.2057719507155748</v>
      </c>
      <c r="G12" s="329" t="s">
        <v>455</v>
      </c>
      <c r="K12" s="342" t="s">
        <v>486</v>
      </c>
      <c r="L12" s="233">
        <f>VLOOKUP(N4,Grondeigenschappen!B23:S33,16,FALSE)</f>
        <v>29.629629629629626</v>
      </c>
      <c r="M12" s="258" t="s">
        <v>487</v>
      </c>
      <c r="R12" s="342" t="s">
        <v>488</v>
      </c>
      <c r="S12" s="173">
        <f>S10*S11</f>
        <v>19.833392109512829</v>
      </c>
      <c r="T12" s="258" t="s">
        <v>433</v>
      </c>
      <c r="U12" s="258" t="s">
        <v>495</v>
      </c>
      <c r="AB12">
        <v>17.5</v>
      </c>
      <c r="AC12" s="243">
        <v>1.075</v>
      </c>
      <c r="AE12">
        <v>17.5</v>
      </c>
      <c r="AF12" s="243">
        <v>0.46500000000000002</v>
      </c>
    </row>
    <row r="13" spans="1:32" ht="14.25" x14ac:dyDescent="0.2">
      <c r="A13" s="258" t="s">
        <v>636</v>
      </c>
      <c r="E13" s="342" t="s">
        <v>467</v>
      </c>
      <c r="F13" s="233">
        <f>Grondeigenschappen!I68</f>
        <v>10.486372250453451</v>
      </c>
      <c r="G13" s="258" t="s">
        <v>454</v>
      </c>
      <c r="K13" s="342" t="s">
        <v>191</v>
      </c>
      <c r="L13" s="173">
        <f>1+0.2*(L9/L10)</f>
        <v>1.1712956259809504</v>
      </c>
      <c r="M13" s="258" t="s">
        <v>8</v>
      </c>
      <c r="V13" s="258" t="s">
        <v>193</v>
      </c>
      <c r="AB13">
        <v>20</v>
      </c>
      <c r="AC13" s="243">
        <v>1.1499999999999999</v>
      </c>
      <c r="AE13">
        <v>20</v>
      </c>
      <c r="AF13" s="243">
        <v>0.48</v>
      </c>
    </row>
    <row r="14" spans="1:32" ht="15.75" x14ac:dyDescent="0.3">
      <c r="A14" s="258" t="s">
        <v>637</v>
      </c>
      <c r="K14" s="342" t="s">
        <v>190</v>
      </c>
      <c r="L14" s="173">
        <f>0.5*(1+((1-(B4/(L9*L10*L12)))^0.5))</f>
        <v>0.94572897638012232</v>
      </c>
      <c r="M14" s="258" t="s">
        <v>8</v>
      </c>
      <c r="R14" s="342" t="s">
        <v>458</v>
      </c>
      <c r="U14" s="409">
        <v>23</v>
      </c>
      <c r="AB14">
        <v>22.5</v>
      </c>
      <c r="AC14" s="243">
        <v>1.2450000000000001</v>
      </c>
      <c r="AE14">
        <v>22.5</v>
      </c>
      <c r="AF14" s="243">
        <v>0.5</v>
      </c>
    </row>
    <row r="15" spans="1:32" ht="14.25" x14ac:dyDescent="0.2">
      <c r="E15" s="342" t="s">
        <v>501</v>
      </c>
      <c r="F15">
        <v>0</v>
      </c>
      <c r="G15" s="329" t="s">
        <v>455</v>
      </c>
      <c r="AB15">
        <v>25</v>
      </c>
      <c r="AC15" s="243">
        <v>1.335</v>
      </c>
      <c r="AE15">
        <v>25</v>
      </c>
      <c r="AF15" s="243">
        <v>0.51500000000000001</v>
      </c>
    </row>
    <row r="16" spans="1:32" ht="15.75" x14ac:dyDescent="0.3">
      <c r="E16" s="342" t="s">
        <v>502</v>
      </c>
      <c r="F16">
        <v>1</v>
      </c>
      <c r="K16" s="342" t="s">
        <v>489</v>
      </c>
      <c r="L16" s="233">
        <f>VLOOKUP(N4,Grondeigenschappen!C23:K33,9,FALSE)</f>
        <v>34.54545454545454</v>
      </c>
      <c r="M16" s="258" t="s">
        <v>478</v>
      </c>
      <c r="R16" s="342" t="s">
        <v>460</v>
      </c>
      <c r="S16" s="173">
        <f>AC43</f>
        <v>1.2254925973104216</v>
      </c>
      <c r="T16" s="258" t="s">
        <v>2</v>
      </c>
      <c r="AB16">
        <v>27.5</v>
      </c>
      <c r="AC16" s="243">
        <v>1.43</v>
      </c>
      <c r="AE16">
        <v>27.5</v>
      </c>
      <c r="AF16" s="243">
        <v>0.54</v>
      </c>
    </row>
    <row r="17" spans="5:32" ht="16.5" thickBot="1" x14ac:dyDescent="0.35">
      <c r="E17" s="342" t="s">
        <v>503</v>
      </c>
      <c r="F17">
        <v>1</v>
      </c>
      <c r="R17" s="342" t="s">
        <v>461</v>
      </c>
      <c r="S17" s="173">
        <f>S16*S10</f>
        <v>5.0508832511440982</v>
      </c>
      <c r="U17" s="173">
        <f>U4-S17</f>
        <v>-6.5508832511440982</v>
      </c>
      <c r="AB17">
        <v>30</v>
      </c>
      <c r="AC17" s="243">
        <v>1.55</v>
      </c>
      <c r="AE17">
        <v>30</v>
      </c>
      <c r="AF17" s="243">
        <v>0.56999999999999995</v>
      </c>
    </row>
    <row r="18" spans="5:32" ht="16.5" thickBot="1" x14ac:dyDescent="0.35">
      <c r="E18" s="342" t="s">
        <v>504</v>
      </c>
      <c r="F18">
        <v>1</v>
      </c>
      <c r="K18" s="348" t="s">
        <v>490</v>
      </c>
      <c r="L18" s="349">
        <f>(PI()+2)*L12*L13*L14+L16</f>
        <v>203.30063215074708</v>
      </c>
      <c r="M18" s="350" t="s">
        <v>478</v>
      </c>
      <c r="N18" s="151"/>
      <c r="O18" s="151"/>
      <c r="P18" s="151"/>
      <c r="Q18" s="139"/>
      <c r="R18" s="140"/>
      <c r="T18" s="258"/>
      <c r="AB18">
        <v>32.5</v>
      </c>
      <c r="AC18" s="243">
        <v>1.7</v>
      </c>
      <c r="AE18">
        <v>32.5</v>
      </c>
      <c r="AF18" s="243">
        <v>0.61</v>
      </c>
    </row>
    <row r="19" spans="5:32" ht="15.75" x14ac:dyDescent="0.3">
      <c r="K19" s="256" t="s">
        <v>472</v>
      </c>
      <c r="L19" s="333">
        <f>L18*L11</f>
        <v>4032.1411535575971</v>
      </c>
      <c r="M19" s="244" t="s">
        <v>63</v>
      </c>
      <c r="N19" s="140"/>
      <c r="O19" s="140"/>
      <c r="P19" s="140"/>
      <c r="Q19" s="138"/>
      <c r="R19" s="244" t="s">
        <v>468</v>
      </c>
      <c r="S19" s="233">
        <f>Grondeigenschappen!H84</f>
        <v>18.472547506389869</v>
      </c>
      <c r="T19" s="258" t="s">
        <v>193</v>
      </c>
      <c r="AB19">
        <v>35</v>
      </c>
      <c r="AC19" s="243">
        <v>1.88</v>
      </c>
      <c r="AE19">
        <v>35</v>
      </c>
      <c r="AF19" s="243">
        <v>0.64500000000000002</v>
      </c>
    </row>
    <row r="20" spans="5:32" ht="16.5" thickBot="1" x14ac:dyDescent="0.35">
      <c r="E20" s="342" t="s">
        <v>186</v>
      </c>
      <c r="F20" s="173">
        <f>EXP(1)^(PI()*TAN(F11*PI()/180))*(TAN((45+(0.5*F11))*PI()/180))^2</f>
        <v>10.02931469558157</v>
      </c>
      <c r="K20" s="256" t="s">
        <v>475</v>
      </c>
      <c r="L20" s="334">
        <f>B3</f>
        <v>1817.5451612903228</v>
      </c>
      <c r="M20" s="244" t="s">
        <v>63</v>
      </c>
      <c r="N20" s="140"/>
      <c r="O20" s="140"/>
      <c r="P20" s="140"/>
      <c r="Q20" s="138"/>
      <c r="R20" s="244" t="s">
        <v>469</v>
      </c>
      <c r="S20" s="233">
        <f>Grondeigenschappen!H85</f>
        <v>16.198012514013062</v>
      </c>
      <c r="T20" s="258" t="s">
        <v>193</v>
      </c>
      <c r="AB20">
        <v>37.5</v>
      </c>
      <c r="AC20" s="243">
        <v>2.09</v>
      </c>
      <c r="AE20">
        <v>37.5</v>
      </c>
      <c r="AF20" s="243">
        <v>0.69</v>
      </c>
    </row>
    <row r="21" spans="5:32" ht="15.75" x14ac:dyDescent="0.3">
      <c r="E21" s="342" t="s">
        <v>185</v>
      </c>
      <c r="F21" s="173">
        <f>(F20-1)*_xlfn.COT(F11*PI()/180)</f>
        <v>19.889771100499598</v>
      </c>
      <c r="K21" s="152"/>
      <c r="L21" s="140"/>
      <c r="M21" s="140"/>
      <c r="N21" s="140"/>
      <c r="O21" s="140"/>
      <c r="P21" s="140"/>
      <c r="Q21" s="138"/>
      <c r="R21" s="244" t="s">
        <v>470</v>
      </c>
      <c r="S21" s="173">
        <f>Grondeigenschappen!H112</f>
        <v>0.61030218736854269</v>
      </c>
      <c r="T21" s="329" t="s">
        <v>455</v>
      </c>
      <c r="AB21">
        <v>40</v>
      </c>
      <c r="AC21" s="243">
        <v>2.335</v>
      </c>
      <c r="AE21">
        <v>40</v>
      </c>
      <c r="AF21" s="243">
        <v>0.73499999999999999</v>
      </c>
    </row>
    <row r="22" spans="5:32" ht="14.25" x14ac:dyDescent="0.2">
      <c r="E22" s="342" t="s">
        <v>513</v>
      </c>
      <c r="F22" s="173">
        <f>2*(F20-1)*TAN(F11*PI()/180)</f>
        <v>8.1980354082403153</v>
      </c>
      <c r="K22" s="256" t="s">
        <v>523</v>
      </c>
      <c r="L22" s="351">
        <f>L20/L19</f>
        <v>0.45076426942213693</v>
      </c>
      <c r="M22" s="352" t="s">
        <v>476</v>
      </c>
      <c r="N22" s="42">
        <v>1</v>
      </c>
      <c r="O22" s="140"/>
      <c r="P22" s="140"/>
      <c r="Q22" s="138"/>
      <c r="R22" s="244" t="s">
        <v>467</v>
      </c>
      <c r="S22" s="173">
        <f>Grondeigenschappen!H98</f>
        <v>1.7335898908889982</v>
      </c>
      <c r="T22" s="258" t="s">
        <v>454</v>
      </c>
      <c r="AB22">
        <v>42.5</v>
      </c>
      <c r="AC22" s="243">
        <v>2.64</v>
      </c>
      <c r="AE22">
        <v>42.5</v>
      </c>
      <c r="AF22" s="243">
        <v>0.79</v>
      </c>
    </row>
    <row r="23" spans="5:32" ht="13.5" thickBot="1" x14ac:dyDescent="0.25">
      <c r="K23" s="163"/>
      <c r="L23" s="353" t="str">
        <f>IF(L22&lt;=N22,"Voldoet","Voldoet niet")</f>
        <v>Voldoet</v>
      </c>
      <c r="M23" s="354"/>
      <c r="N23" s="354"/>
      <c r="O23" s="283"/>
      <c r="P23" s="283"/>
      <c r="Q23" s="332"/>
      <c r="R23" s="140"/>
      <c r="AB23">
        <v>45</v>
      </c>
      <c r="AC23" s="243">
        <v>2.9849999999999999</v>
      </c>
      <c r="AE23">
        <v>45</v>
      </c>
      <c r="AF23" s="243">
        <v>0.85</v>
      </c>
    </row>
    <row r="24" spans="5:32" ht="14.25" x14ac:dyDescent="0.2">
      <c r="E24" s="342" t="s">
        <v>188</v>
      </c>
      <c r="F24" s="173">
        <f>1+(MIN(B5:B6)/MAX(B5:B6))*SIN(F11*PI()/180)</f>
        <v>1.3461923116839614</v>
      </c>
      <c r="R24" s="342" t="s">
        <v>501</v>
      </c>
      <c r="S24" s="233">
        <f>VLOOKUP(U4,Grondeigenschappen!C23:S33,9,FALSE)</f>
        <v>34.54545454545454</v>
      </c>
      <c r="T24" s="329" t="s">
        <v>455</v>
      </c>
    </row>
    <row r="25" spans="5:32" ht="15.75" x14ac:dyDescent="0.3">
      <c r="E25" s="342" t="s">
        <v>191</v>
      </c>
      <c r="F25" s="173">
        <f>(F24*F20-1)/(F20-1)</f>
        <v>1.3845332404648985</v>
      </c>
      <c r="R25" s="342" t="s">
        <v>502</v>
      </c>
      <c r="S25" s="233">
        <v>1</v>
      </c>
    </row>
    <row r="26" spans="5:32" ht="15.75" x14ac:dyDescent="0.3">
      <c r="E26" s="342" t="s">
        <v>514</v>
      </c>
      <c r="F26" s="173">
        <f>1-0.3*(B5/B6)</f>
        <v>0.74875181281809955</v>
      </c>
      <c r="R26" s="342" t="s">
        <v>503</v>
      </c>
      <c r="S26" s="233">
        <v>1</v>
      </c>
    </row>
    <row r="27" spans="5:32" ht="15.75" x14ac:dyDescent="0.3">
      <c r="E27" s="342"/>
      <c r="G27" s="258"/>
      <c r="R27" s="342" t="s">
        <v>504</v>
      </c>
      <c r="S27" s="233">
        <v>1</v>
      </c>
    </row>
    <row r="28" spans="5:32" x14ac:dyDescent="0.2">
      <c r="E28" s="342" t="s">
        <v>189</v>
      </c>
      <c r="F28" s="173">
        <f>1-(0.7*B4)/(B3+F12*B7*_xlfn.COT(F11*PI()/180))</f>
        <v>0.95370912037988709</v>
      </c>
      <c r="AB28">
        <f>H4</f>
        <v>32</v>
      </c>
      <c r="AC28" s="243">
        <f>AC29+(AB28-AB29)*AC32</f>
        <v>1.67</v>
      </c>
      <c r="AE28">
        <f>H4</f>
        <v>32</v>
      </c>
      <c r="AF28" s="243">
        <f>AF29+(AE28-AE29)*AF32</f>
        <v>0.60199999999999998</v>
      </c>
    </row>
    <row r="29" spans="5:32" x14ac:dyDescent="0.2">
      <c r="E29" s="342" t="s">
        <v>190</v>
      </c>
      <c r="F29" s="173">
        <f>(F28*F20-1)/(F20-1)</f>
        <v>0.94858238804406925</v>
      </c>
      <c r="R29" s="342" t="s">
        <v>186</v>
      </c>
      <c r="S29" s="173">
        <f>EXP(1)^(PI()*TAN(S20*PI()/180))*(TAN((45+(0.5*S20))*PI()/180))^2</f>
        <v>4.4180657888757606</v>
      </c>
      <c r="AB29">
        <f>AB30-AB5</f>
        <v>30</v>
      </c>
      <c r="AC29" s="243">
        <f>VLOOKUP(AB29,AB4:AC23,2,FALSE)</f>
        <v>1.55</v>
      </c>
      <c r="AE29">
        <f>AE30-AE5</f>
        <v>30</v>
      </c>
      <c r="AF29" s="243">
        <f>VLOOKUP(AE29,AE4:AF23,2,FALSE)</f>
        <v>0.56999999999999995</v>
      </c>
    </row>
    <row r="30" spans="5:32" x14ac:dyDescent="0.2">
      <c r="E30" s="342" t="s">
        <v>515</v>
      </c>
      <c r="F30" s="173">
        <f>1-B4/(B3+F12*B7*_xlfn.COT(F11*PI()/180))</f>
        <v>0.93387017197126732</v>
      </c>
      <c r="G30" s="258"/>
      <c r="R30" s="342" t="s">
        <v>185</v>
      </c>
      <c r="S30" s="233">
        <f>(S29-1)*_xlfn.COT(S20*PI()/180)</f>
        <v>11.766583080671191</v>
      </c>
      <c r="AB30">
        <f>IF(AB28&lt;=2.5,2.5,IF(AB28&lt;=5,5,IF(AB28&lt;=7.5,7.5,IF(AB28&lt;=10,10,IF(AB28&lt;=12.5,12.5,IF(AB28&lt;=15,15,IF(AB28&lt;=17.5,17.5,IF(AB28&lt;=20,20,IF(AB28&lt;=22.5,22.5,IF(AB28&lt;=25,25,IF(AB28&lt;=27.5,27.5,IF(AB28&lt;=30,30,IF(AB28&lt;=32.5,32.5,IF(AB28&lt;=35,35,IF(AB28&lt;=37.5,37.5,IF(AB28&lt;=40,40,IF(AB28&lt;=42.5,42.5,IF(AB28&lt;=45,45,0))))))))))))))))))</f>
        <v>32.5</v>
      </c>
      <c r="AC30">
        <f>VLOOKUP(AB30,AB4:AC23,2,FALSE)</f>
        <v>1.7</v>
      </c>
      <c r="AE30">
        <f>IF(AE28&lt;=2.5,2.5,IF(AE28&lt;=5,5,IF(AE28&lt;=7.5,7.5,IF(AE28&lt;=10,10,IF(AE28&lt;=12.5,12.5,IF(AE28&lt;=15,15,IF(AE28&lt;=17.5,17.5,IF(AE28&lt;=20,20,IF(AE28&lt;=22.5,22.5,IF(AE28&lt;=25,25,IF(AE28&lt;=27.5,27.5,IF(AE28&lt;=30,30,IF(AE28&lt;=32.5,32.5,IF(AE28&lt;=35,35,IF(AE28&lt;=37.5,37.5,IF(AE28&lt;=40,40,IF(AE28&lt;=42.5,42.5,IF(AE28&lt;=45,45,0))))))))))))))))))</f>
        <v>32.5</v>
      </c>
      <c r="AF30">
        <f>VLOOKUP(AE30,AE4:AF23,2,FALSE)</f>
        <v>0.61</v>
      </c>
    </row>
    <row r="31" spans="5:32" ht="13.5" thickBot="1" x14ac:dyDescent="0.25">
      <c r="E31" s="342"/>
      <c r="F31" s="233"/>
      <c r="G31" s="258"/>
      <c r="R31" s="342" t="s">
        <v>513</v>
      </c>
      <c r="S31" s="173">
        <f>2*(S29-1)*TAN(S20*PI()/180)</f>
        <v>1.9858226737504909</v>
      </c>
    </row>
    <row r="32" spans="5:32" ht="16.5" thickBot="1" x14ac:dyDescent="0.35">
      <c r="E32" s="348" t="s">
        <v>518</v>
      </c>
      <c r="F32" s="349">
        <f>F12*F21*F25*F17*F29+F15*F20*F24*F16*F28+0.5*F13*B5*F22*F26*F18*F30</f>
        <v>112.35457505481779</v>
      </c>
      <c r="G32" s="350" t="s">
        <v>478</v>
      </c>
      <c r="H32" s="151"/>
      <c r="I32" s="151"/>
      <c r="J32" s="139"/>
      <c r="K32" s="140"/>
      <c r="AC32">
        <f>(AC30-AC29)/2.5</f>
        <v>5.9999999999999963E-2</v>
      </c>
      <c r="AF32">
        <f>(AF30-AF29)/2.5</f>
        <v>1.6000000000000014E-2</v>
      </c>
    </row>
    <row r="33" spans="5:32" x14ac:dyDescent="0.2">
      <c r="E33" s="256" t="s">
        <v>472</v>
      </c>
      <c r="F33" s="333">
        <f>B7*F32</f>
        <v>1699.614015601969</v>
      </c>
      <c r="G33" s="244" t="s">
        <v>63</v>
      </c>
      <c r="H33" s="140"/>
      <c r="I33" s="140"/>
      <c r="J33" s="138"/>
      <c r="K33" s="140"/>
      <c r="R33" s="342" t="s">
        <v>188</v>
      </c>
      <c r="S33" s="243">
        <f>1+(S10/S11)*SIN(S20*PI()/180)</f>
        <v>1.2389212506153244</v>
      </c>
      <c r="AB33" t="s">
        <v>517</v>
      </c>
      <c r="AC33" s="173">
        <f>B8</f>
        <v>6.6379306397118143E-2</v>
      </c>
    </row>
    <row r="34" spans="5:32" ht="13.5" thickBot="1" x14ac:dyDescent="0.25">
      <c r="E34" s="256" t="s">
        <v>475</v>
      </c>
      <c r="F34" s="334">
        <f>B3</f>
        <v>1817.5451612903228</v>
      </c>
      <c r="G34" s="244" t="s">
        <v>63</v>
      </c>
      <c r="H34" s="140"/>
      <c r="I34" s="140"/>
      <c r="J34" s="138"/>
      <c r="K34" s="140"/>
      <c r="R34" s="342" t="s">
        <v>191</v>
      </c>
      <c r="S34" s="243">
        <f>(S33*S29-1)/(S29-1)</f>
        <v>1.3088207977196851</v>
      </c>
      <c r="AB34" t="s">
        <v>516</v>
      </c>
      <c r="AC34" s="243">
        <f>AC28-(AC28-AF28)*AC33</f>
        <v>1.5991069007678778</v>
      </c>
    </row>
    <row r="35" spans="5:32" x14ac:dyDescent="0.2">
      <c r="E35" s="152"/>
      <c r="F35" s="140"/>
      <c r="G35" s="140"/>
      <c r="H35" s="244"/>
      <c r="I35" s="140"/>
      <c r="J35" s="138"/>
      <c r="K35" s="140"/>
      <c r="R35" s="342" t="s">
        <v>514</v>
      </c>
      <c r="S35" s="173">
        <f>1-0.3*(S10/S11)</f>
        <v>0.74305656102857454</v>
      </c>
    </row>
    <row r="36" spans="5:32" x14ac:dyDescent="0.2">
      <c r="E36" s="256" t="s">
        <v>523</v>
      </c>
      <c r="F36" s="351">
        <f>F34/F33</f>
        <v>1.0693870164671389</v>
      </c>
      <c r="G36" s="352" t="s">
        <v>476</v>
      </c>
      <c r="H36" s="42">
        <v>1</v>
      </c>
      <c r="I36" s="140"/>
      <c r="J36" s="138"/>
      <c r="K36" s="140"/>
    </row>
    <row r="37" spans="5:32" ht="13.5" thickBot="1" x14ac:dyDescent="0.25">
      <c r="E37" s="163"/>
      <c r="F37" s="353" t="str">
        <f>IF(F36&lt;=H36,"Voldoet","Voldoet niet")</f>
        <v>Voldoet niet</v>
      </c>
      <c r="G37" s="354"/>
      <c r="H37" s="354"/>
      <c r="I37" s="283"/>
      <c r="J37" s="332"/>
      <c r="K37" s="140"/>
      <c r="R37" s="342" t="s">
        <v>189</v>
      </c>
      <c r="S37" s="173">
        <f>(1-((0.7*B4)/(B3+S12*S21*_xlfn.COT(S20*PI()/180))))^3</f>
        <v>0.86982395277646041</v>
      </c>
      <c r="AB37">
        <f>U14</f>
        <v>23</v>
      </c>
      <c r="AC37" s="243">
        <f>AC38+(AB37-AB38)*AC41</f>
        <v>1.2630000000000001</v>
      </c>
      <c r="AE37">
        <f>U14</f>
        <v>23</v>
      </c>
      <c r="AF37" s="243">
        <f>AF38+(AE37-AE38)*AF41</f>
        <v>0.503</v>
      </c>
    </row>
    <row r="38" spans="5:32" x14ac:dyDescent="0.2">
      <c r="R38" s="342" t="s">
        <v>190</v>
      </c>
      <c r="S38" s="173">
        <f>(S37*S29-1)/(S29-1)</f>
        <v>0.83173924192999182</v>
      </c>
      <c r="AB38">
        <f>AB39-AB5</f>
        <v>22.5</v>
      </c>
      <c r="AC38" s="243">
        <f>VLOOKUP(AB38,AB4:AC23,2,FALSE)</f>
        <v>1.2450000000000001</v>
      </c>
      <c r="AE38">
        <f>AE39-AE5</f>
        <v>22.5</v>
      </c>
      <c r="AF38" s="243">
        <f>VLOOKUP(AE38,AE4:AF23,2,FALSE)</f>
        <v>0.5</v>
      </c>
    </row>
    <row r="39" spans="5:32" x14ac:dyDescent="0.2">
      <c r="R39" s="342" t="s">
        <v>515</v>
      </c>
      <c r="S39" s="173">
        <f>(1-((B4)/(B3+S12*S21*_xlfn.COT(S20*PI()/180))))^3</f>
        <v>0.81768468760533697</v>
      </c>
      <c r="AB39">
        <f>IF(AB37&lt;=2.5,2.5,IF(AB37&lt;=5,5,IF(AB37&lt;=7.5,7.5,IF(AB37&lt;=10,10,IF(AB37&lt;=12.5,12.5,IF(AB37&lt;=15,15,IF(AB37&lt;=17.5,17.5,IF(AB37&lt;=20,20,IF(AB37&lt;=22.5,22.5,IF(AB37&lt;=25,25,IF(AB37&lt;=27.5,27.5,IF(AB37&lt;=30,30,IF(AB37&lt;=32.5,32.5,IF(AB37&lt;=35,35,IF(AB37&lt;=37.5,37.5,IF(AB37&lt;=40,40,IF(AB37&lt;=42.5,42.5,IF(AB37&lt;=45,45,0))))))))))))))))))</f>
        <v>25</v>
      </c>
      <c r="AC39">
        <f>VLOOKUP(AB39,AB4:AC23,2,FALSE)</f>
        <v>1.335</v>
      </c>
      <c r="AE39">
        <f>IF(AE37&lt;=2.5,2.5,IF(AE37&lt;=5,5,IF(AE37&lt;=7.5,7.5,IF(AE37&lt;=10,10,IF(AE37&lt;=12.5,12.5,IF(AE37&lt;=15,15,IF(AE37&lt;=17.5,17.5,IF(AE37&lt;=20,20,IF(AE37&lt;=22.5,22.5,IF(AE37&lt;=25,25,IF(AE37&lt;=27.5,27.5,IF(AE37&lt;=30,30,IF(AE37&lt;=32.5,32.5,IF(AE37&lt;=35,35,IF(AE37&lt;=37.5,37.5,IF(AE37&lt;=40,40,IF(AE37&lt;=42.5,42.5,IF(AE37&lt;=45,45,0))))))))))))))))))</f>
        <v>25</v>
      </c>
      <c r="AF39">
        <f>VLOOKUP(AE39,AE4:AF23,2,FALSE)</f>
        <v>0.51500000000000001</v>
      </c>
    </row>
    <row r="40" spans="5:32" ht="13.5" thickBot="1" x14ac:dyDescent="0.25"/>
    <row r="41" spans="5:32" ht="16.5" thickBot="1" x14ac:dyDescent="0.35">
      <c r="R41" s="348" t="s">
        <v>518</v>
      </c>
      <c r="S41" s="349">
        <f>S21*S30*S34*S38*S26+S24*S29*S33*S25*S37+0.5*S22*S10*S31*S35*S27*S39</f>
        <v>176.60218325488043</v>
      </c>
      <c r="T41" s="350" t="s">
        <v>478</v>
      </c>
      <c r="U41" s="151"/>
      <c r="V41" s="151"/>
      <c r="W41" s="151"/>
      <c r="X41" s="151"/>
      <c r="Y41" s="151"/>
      <c r="Z41" s="139"/>
      <c r="AA41" s="140"/>
      <c r="AC41" s="243">
        <f>(AC39-AC38)/2.5</f>
        <v>3.5999999999999942E-2</v>
      </c>
      <c r="AF41">
        <f>(AF39-AF38)/2.5</f>
        <v>6.0000000000000053E-3</v>
      </c>
    </row>
    <row r="42" spans="5:32" x14ac:dyDescent="0.2">
      <c r="R42" s="256" t="s">
        <v>472</v>
      </c>
      <c r="S42" s="333">
        <f>S12*S41</f>
        <v>3502.6203478900843</v>
      </c>
      <c r="T42" s="244" t="s">
        <v>63</v>
      </c>
      <c r="U42" s="140"/>
      <c r="V42" s="140"/>
      <c r="W42" s="140"/>
      <c r="X42" s="140"/>
      <c r="Y42" s="140"/>
      <c r="Z42" s="138"/>
      <c r="AA42" s="140"/>
      <c r="AB42" t="s">
        <v>517</v>
      </c>
      <c r="AC42" s="173">
        <f>S8</f>
        <v>4.9351845644182407E-2</v>
      </c>
    </row>
    <row r="43" spans="5:32" ht="13.5" thickBot="1" x14ac:dyDescent="0.25">
      <c r="R43" s="256" t="s">
        <v>475</v>
      </c>
      <c r="S43" s="334">
        <f>S7</f>
        <v>2444.6377957520572</v>
      </c>
      <c r="T43" s="244" t="s">
        <v>63</v>
      </c>
      <c r="U43" s="140"/>
      <c r="V43" s="140"/>
      <c r="W43" s="140"/>
      <c r="X43" s="140"/>
      <c r="Y43" s="140"/>
      <c r="Z43" s="138"/>
      <c r="AA43" s="140"/>
      <c r="AB43" t="s">
        <v>516</v>
      </c>
      <c r="AC43" s="243">
        <f>AC37-(AC37-AF37)*AC42</f>
        <v>1.2254925973104216</v>
      </c>
    </row>
    <row r="44" spans="5:32" x14ac:dyDescent="0.2">
      <c r="R44" s="152"/>
      <c r="S44" s="140"/>
      <c r="T44" s="140"/>
      <c r="U44" s="140"/>
      <c r="V44" s="140"/>
      <c r="W44" s="140"/>
      <c r="X44" s="140"/>
      <c r="Y44" s="140"/>
      <c r="Z44" s="138"/>
      <c r="AA44" s="140"/>
    </row>
    <row r="45" spans="5:32" x14ac:dyDescent="0.2">
      <c r="R45" s="256" t="s">
        <v>523</v>
      </c>
      <c r="S45" s="351">
        <f>S43/S42</f>
        <v>0.69794541027681267</v>
      </c>
      <c r="T45" s="352" t="s">
        <v>476</v>
      </c>
      <c r="U45" s="42">
        <v>1</v>
      </c>
      <c r="V45" s="140"/>
      <c r="W45" s="140"/>
      <c r="X45" s="140"/>
      <c r="Y45" s="140"/>
      <c r="Z45" s="138"/>
      <c r="AA45" s="140"/>
    </row>
    <row r="46" spans="5:32" ht="16.5" thickBot="1" x14ac:dyDescent="0.3">
      <c r="R46" s="163"/>
      <c r="S46" s="353" t="str">
        <f>IF(S45&lt;=U45,"Voldoet","Voldoet niet")</f>
        <v>Voldoet</v>
      </c>
      <c r="T46" s="354"/>
      <c r="U46" s="354"/>
      <c r="V46" s="283"/>
      <c r="W46" s="283"/>
      <c r="X46" s="283"/>
      <c r="Y46" s="283"/>
      <c r="Z46" s="332"/>
      <c r="AA46" s="140"/>
      <c r="AB46" s="343" t="s">
        <v>184</v>
      </c>
      <c r="AC46" s="143" t="s">
        <v>185</v>
      </c>
      <c r="AD46" s="143" t="s">
        <v>186</v>
      </c>
      <c r="AE46" s="144" t="s">
        <v>187</v>
      </c>
    </row>
    <row r="47" spans="5:32" x14ac:dyDescent="0.2">
      <c r="AB47" s="344">
        <v>15</v>
      </c>
      <c r="AC47" s="145">
        <v>10.9</v>
      </c>
      <c r="AD47" s="145">
        <v>3.9</v>
      </c>
      <c r="AE47" s="146">
        <v>1.6</v>
      </c>
    </row>
    <row r="48" spans="5:32" x14ac:dyDescent="0.2">
      <c r="AB48" s="345">
        <v>20</v>
      </c>
      <c r="AC48" s="147">
        <v>14.8</v>
      </c>
      <c r="AD48" s="147">
        <v>6.4</v>
      </c>
      <c r="AE48" s="148">
        <v>3.9</v>
      </c>
    </row>
    <row r="49" spans="7:31" x14ac:dyDescent="0.2">
      <c r="AB49" s="344">
        <v>22.5</v>
      </c>
      <c r="AC49" s="145">
        <v>17.399999999999999</v>
      </c>
      <c r="AD49" s="145">
        <v>8.1999999999999993</v>
      </c>
      <c r="AE49" s="146">
        <v>6</v>
      </c>
    </row>
    <row r="50" spans="7:31" x14ac:dyDescent="0.2">
      <c r="G50" s="258"/>
      <c r="AB50" s="345">
        <v>25</v>
      </c>
      <c r="AC50" s="147">
        <v>20.6</v>
      </c>
      <c r="AD50" s="147">
        <v>10.6</v>
      </c>
      <c r="AE50" s="148">
        <v>9</v>
      </c>
    </row>
    <row r="51" spans="7:31" x14ac:dyDescent="0.2">
      <c r="G51" s="258"/>
      <c r="AB51" s="344">
        <v>27.5</v>
      </c>
      <c r="AC51" s="145">
        <v>24.8</v>
      </c>
      <c r="AD51" s="145">
        <v>13.9</v>
      </c>
      <c r="AE51" s="146">
        <v>13.4</v>
      </c>
    </row>
    <row r="52" spans="7:31" x14ac:dyDescent="0.2">
      <c r="G52" s="258"/>
      <c r="AB52" s="345">
        <v>30</v>
      </c>
      <c r="AC52" s="147">
        <v>30</v>
      </c>
      <c r="AD52" s="147">
        <v>18.3</v>
      </c>
      <c r="AE52" s="148">
        <v>20</v>
      </c>
    </row>
    <row r="53" spans="7:31" x14ac:dyDescent="0.2">
      <c r="G53" s="258"/>
      <c r="AB53" s="344">
        <v>32.5</v>
      </c>
      <c r="AC53" s="145">
        <v>36.9</v>
      </c>
      <c r="AD53" s="145">
        <v>24.5</v>
      </c>
      <c r="AE53" s="146">
        <v>29.9</v>
      </c>
    </row>
    <row r="54" spans="7:31" x14ac:dyDescent="0.2">
      <c r="G54" s="258"/>
      <c r="AB54" s="346">
        <v>35</v>
      </c>
      <c r="AC54" s="149">
        <v>45.9</v>
      </c>
      <c r="AD54" s="149">
        <v>33.1</v>
      </c>
      <c r="AE54" s="150">
        <v>45</v>
      </c>
    </row>
    <row r="55" spans="7:31" x14ac:dyDescent="0.2">
      <c r="G55" s="258"/>
    </row>
    <row r="59" spans="7:31" x14ac:dyDescent="0.2">
      <c r="G59" s="258"/>
    </row>
  </sheetData>
  <mergeCells count="1">
    <mergeCell ref="K7:L7"/>
  </mergeCells>
  <conditionalFormatting sqref="K7">
    <cfRule type="cellIs" dxfId="25" priority="1" operator="equal">
      <formula>"Geen controle benodigd"</formula>
    </cfRule>
    <cfRule type="cellIs" dxfId="24" priority="2" operator="equal">
      <formula>"Controle benodigd"</formula>
    </cfRule>
  </conditionalFormatting>
  <pageMargins left="0.7" right="0.7" top="0.75" bottom="0.75" header="0.3" footer="0.3"/>
  <pageSetup paperSize="9" scale="34"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4"/>
  <sheetViews>
    <sheetView zoomScaleNormal="100" workbookViewId="0">
      <selection activeCell="G33" sqref="G33"/>
    </sheetView>
  </sheetViews>
  <sheetFormatPr defaultRowHeight="12.75" x14ac:dyDescent="0.2"/>
  <cols>
    <col min="1" max="1" width="9.140625" customWidth="1"/>
  </cols>
  <sheetData>
    <row r="1" spans="1:5" x14ac:dyDescent="0.2">
      <c r="A1" s="244" t="s">
        <v>543</v>
      </c>
    </row>
    <row r="2" spans="1:5" x14ac:dyDescent="0.2">
      <c r="A2" s="258" t="s">
        <v>569</v>
      </c>
    </row>
    <row r="3" spans="1:5" x14ac:dyDescent="0.2">
      <c r="A3" s="244" t="s">
        <v>530</v>
      </c>
    </row>
    <row r="4" spans="1:5" x14ac:dyDescent="0.2">
      <c r="A4" s="244" t="s">
        <v>531</v>
      </c>
    </row>
    <row r="5" spans="1:5" x14ac:dyDescent="0.2">
      <c r="A5" s="244" t="s">
        <v>566</v>
      </c>
    </row>
    <row r="6" spans="1:5" x14ac:dyDescent="0.2">
      <c r="A6" s="244" t="s">
        <v>532</v>
      </c>
    </row>
    <row r="7" spans="1:5" x14ac:dyDescent="0.2">
      <c r="A7" s="244"/>
    </row>
    <row r="8" spans="1:5" x14ac:dyDescent="0.2">
      <c r="A8" s="252" t="s">
        <v>629</v>
      </c>
    </row>
    <row r="9" spans="1:5" x14ac:dyDescent="0.2">
      <c r="A9" s="245" t="s">
        <v>630</v>
      </c>
    </row>
    <row r="10" spans="1:5" x14ac:dyDescent="0.2">
      <c r="A10" s="245" t="s">
        <v>631</v>
      </c>
    </row>
    <row r="11" spans="1:5" x14ac:dyDescent="0.2">
      <c r="A11" s="244"/>
    </row>
    <row r="12" spans="1:5" x14ac:dyDescent="0.2">
      <c r="A12" s="356" t="s">
        <v>588</v>
      </c>
    </row>
    <row r="13" spans="1:5" x14ac:dyDescent="0.2">
      <c r="A13" s="244" t="s">
        <v>589</v>
      </c>
      <c r="D13" s="2">
        <f>Grondeigenschappen!C2</f>
        <v>0.5</v>
      </c>
      <c r="E13" s="258" t="s">
        <v>546</v>
      </c>
    </row>
    <row r="14" spans="1:5" x14ac:dyDescent="0.2">
      <c r="A14" s="245" t="s">
        <v>590</v>
      </c>
      <c r="D14" s="2">
        <f>Grondeigenschappen!C3</f>
        <v>-1.5</v>
      </c>
      <c r="E14" s="258" t="s">
        <v>546</v>
      </c>
    </row>
    <row r="15" spans="1:5" x14ac:dyDescent="0.2">
      <c r="A15" s="245" t="s">
        <v>623</v>
      </c>
      <c r="D15" s="355">
        <f>'Tabel C2 Samenvatting'!C6</f>
        <v>1817.5451612903228</v>
      </c>
      <c r="E15" s="258" t="s">
        <v>63</v>
      </c>
    </row>
    <row r="16" spans="1:5" x14ac:dyDescent="0.2">
      <c r="A16" s="245" t="s">
        <v>624</v>
      </c>
      <c r="D16" s="355">
        <f>'Tabel C2 Samenvatting'!C7</f>
        <v>120.64738715188984</v>
      </c>
      <c r="E16" s="258" t="s">
        <v>63</v>
      </c>
    </row>
    <row r="18" spans="1:9" x14ac:dyDescent="0.2">
      <c r="A18" s="258" t="s">
        <v>625</v>
      </c>
      <c r="D18" s="2">
        <f>'Tabel C2 Samenvatting'!C14</f>
        <v>3.5593493184102569</v>
      </c>
      <c r="E18" s="258" t="s">
        <v>2</v>
      </c>
    </row>
    <row r="19" spans="1:9" x14ac:dyDescent="0.2">
      <c r="A19" s="258" t="s">
        <v>626</v>
      </c>
      <c r="D19" s="2">
        <f>'Tabel C2 Samenvatting'!C13</f>
        <v>4.25</v>
      </c>
      <c r="E19" s="258" t="s">
        <v>2</v>
      </c>
    </row>
    <row r="20" spans="1:9" ht="14.25" x14ac:dyDescent="0.2">
      <c r="A20" s="258" t="s">
        <v>627</v>
      </c>
      <c r="D20" s="2">
        <f>'Tabel C2 Samenvatting'!C15</f>
        <v>15.127234603243592</v>
      </c>
      <c r="E20" s="258" t="s">
        <v>600</v>
      </c>
    </row>
    <row r="21" spans="1:9" ht="14.25" x14ac:dyDescent="0.2">
      <c r="A21" s="258" t="s">
        <v>628</v>
      </c>
      <c r="D21" s="2">
        <f>'Tabel C2 Samenvatting'!C16</f>
        <v>120.15052380430483</v>
      </c>
      <c r="E21" s="383" t="s">
        <v>455</v>
      </c>
    </row>
    <row r="23" spans="1:9" ht="13.5" thickBot="1" x14ac:dyDescent="0.25">
      <c r="A23" s="77" t="s">
        <v>474</v>
      </c>
    </row>
    <row r="24" spans="1:9" ht="13.5" x14ac:dyDescent="0.25">
      <c r="A24" s="367" t="s">
        <v>571</v>
      </c>
      <c r="B24" s="368" t="s">
        <v>572</v>
      </c>
      <c r="C24" s="369" t="s">
        <v>437</v>
      </c>
      <c r="D24" s="370" t="s">
        <v>573</v>
      </c>
      <c r="E24" s="369" t="s">
        <v>574</v>
      </c>
      <c r="F24" s="369" t="s">
        <v>575</v>
      </c>
      <c r="G24" s="370" t="s">
        <v>576</v>
      </c>
      <c r="H24" s="369" t="s">
        <v>577</v>
      </c>
      <c r="I24" s="371" t="s">
        <v>578</v>
      </c>
    </row>
    <row r="25" spans="1:9" ht="14.25" thickBot="1" x14ac:dyDescent="0.25">
      <c r="A25" s="378" t="s">
        <v>584</v>
      </c>
      <c r="B25" s="379" t="s">
        <v>584</v>
      </c>
      <c r="C25" s="380"/>
      <c r="D25" s="380" t="s">
        <v>585</v>
      </c>
      <c r="E25" s="380" t="s">
        <v>585</v>
      </c>
      <c r="F25" s="380" t="s">
        <v>586</v>
      </c>
      <c r="G25" s="380" t="s">
        <v>193</v>
      </c>
      <c r="H25" s="380" t="s">
        <v>586</v>
      </c>
      <c r="I25" s="381" t="s">
        <v>586</v>
      </c>
    </row>
    <row r="26" spans="1:9" x14ac:dyDescent="0.2">
      <c r="A26" s="372">
        <f>Grondeigenschappen!B6</f>
        <v>0.5</v>
      </c>
      <c r="B26" s="373">
        <f>Grondeigenschappen!C6</f>
        <v>0.5</v>
      </c>
      <c r="C26" s="374" t="str">
        <f>Grondeigenschappen!E6</f>
        <v>Zand</v>
      </c>
      <c r="D26" s="373">
        <f>Grondeigenschappen!G6</f>
        <v>19</v>
      </c>
      <c r="E26" s="373">
        <f>Grondeigenschappen!H6</f>
        <v>21</v>
      </c>
      <c r="F26" s="388">
        <f>Grondeigenschappen!K6</f>
        <v>0</v>
      </c>
      <c r="G26" s="388">
        <f>Grondeigenschappen!O6</f>
        <v>35</v>
      </c>
      <c r="H26" s="388">
        <f>Grondeigenschappen!P6</f>
        <v>0</v>
      </c>
      <c r="I26" s="390">
        <f>Grondeigenschappen!Q6</f>
        <v>0</v>
      </c>
    </row>
    <row r="27" spans="1:9" x14ac:dyDescent="0.2">
      <c r="A27" s="372">
        <f>Grondeigenschappen!B7</f>
        <v>0.5</v>
      </c>
      <c r="B27" s="373">
        <f>Grondeigenschappen!C7</f>
        <v>-1.5</v>
      </c>
      <c r="C27" s="374" t="str">
        <f>Grondeigenschappen!E7</f>
        <v>Zand</v>
      </c>
      <c r="D27" s="373">
        <f>Grondeigenschappen!G7</f>
        <v>19</v>
      </c>
      <c r="E27" s="373">
        <f>Grondeigenschappen!H7</f>
        <v>21</v>
      </c>
      <c r="F27" s="388">
        <f>Grondeigenschappen!K7</f>
        <v>38</v>
      </c>
      <c r="G27" s="388">
        <f>Grondeigenschappen!O7</f>
        <v>35</v>
      </c>
      <c r="H27" s="388">
        <f>Grondeigenschappen!P7</f>
        <v>0</v>
      </c>
      <c r="I27" s="390">
        <f>Grondeigenschappen!Q7</f>
        <v>0</v>
      </c>
    </row>
    <row r="28" spans="1:9" x14ac:dyDescent="0.2">
      <c r="A28" s="372">
        <f>Grondeigenschappen!B8</f>
        <v>-1.5</v>
      </c>
      <c r="B28" s="373">
        <f>Grondeigenschappen!C8</f>
        <v>-2</v>
      </c>
      <c r="C28" s="374" t="str">
        <f>Grondeigenschappen!E8</f>
        <v>Klei</v>
      </c>
      <c r="D28" s="373">
        <f>Grondeigenschappen!G8</f>
        <v>15</v>
      </c>
      <c r="E28" s="373">
        <f>Grondeigenschappen!H8</f>
        <v>15</v>
      </c>
      <c r="F28" s="388">
        <f>Grondeigenschappen!K8</f>
        <v>40.5</v>
      </c>
      <c r="G28" s="388">
        <f>Grondeigenschappen!O8</f>
        <v>22.5</v>
      </c>
      <c r="H28" s="388">
        <f>Grondeigenschappen!P8</f>
        <v>0</v>
      </c>
      <c r="I28" s="390">
        <f>Grondeigenschappen!Q8</f>
        <v>40</v>
      </c>
    </row>
    <row r="29" spans="1:9" x14ac:dyDescent="0.2">
      <c r="A29" s="372">
        <f>Grondeigenschappen!B9</f>
        <v>-2</v>
      </c>
      <c r="B29" s="373">
        <f>Grondeigenschappen!C9</f>
        <v>-4.5</v>
      </c>
      <c r="C29" s="374" t="str">
        <f>Grondeigenschappen!E9</f>
        <v>Veen</v>
      </c>
      <c r="D29" s="373">
        <f>Grondeigenschappen!G9</f>
        <v>11</v>
      </c>
      <c r="E29" s="373">
        <f>Grondeigenschappen!H9</f>
        <v>11</v>
      </c>
      <c r="F29" s="388">
        <f>Grondeigenschappen!K9</f>
        <v>43</v>
      </c>
      <c r="G29" s="388">
        <f>Grondeigenschappen!O9</f>
        <v>15</v>
      </c>
      <c r="H29" s="388">
        <f>Grondeigenschappen!P9</f>
        <v>1</v>
      </c>
      <c r="I29" s="390">
        <f>Grondeigenschappen!Q9</f>
        <v>15</v>
      </c>
    </row>
    <row r="30" spans="1:9" x14ac:dyDescent="0.2">
      <c r="A30" s="372">
        <f>Grondeigenschappen!B10</f>
        <v>-4.5</v>
      </c>
      <c r="B30" s="373">
        <f>Grondeigenschappen!C10</f>
        <v>-6.5</v>
      </c>
      <c r="C30" s="374" t="str">
        <f>Grondeigenschappen!E10</f>
        <v>Klei</v>
      </c>
      <c r="D30" s="373">
        <f>Grondeigenschappen!G10</f>
        <v>18</v>
      </c>
      <c r="E30" s="373">
        <f>Grondeigenschappen!H10</f>
        <v>18</v>
      </c>
      <c r="F30" s="388">
        <f>Grondeigenschappen!K10</f>
        <v>59</v>
      </c>
      <c r="G30" s="388">
        <f>Grondeigenschappen!O10</f>
        <v>27.5</v>
      </c>
      <c r="H30" s="388">
        <f>Grondeigenschappen!P10</f>
        <v>2</v>
      </c>
      <c r="I30" s="390">
        <f>Grondeigenschappen!Q10</f>
        <v>80</v>
      </c>
    </row>
    <row r="31" spans="1:9" x14ac:dyDescent="0.2">
      <c r="A31" s="372">
        <f>Grondeigenschappen!B11</f>
        <v>-6.5</v>
      </c>
      <c r="B31" s="373">
        <f>Grondeigenschappen!C11</f>
        <v>-10</v>
      </c>
      <c r="C31" s="374" t="str">
        <f>Grondeigenschappen!E11</f>
        <v>Zand</v>
      </c>
      <c r="D31" s="373">
        <f>Grondeigenschappen!G11</f>
        <v>17</v>
      </c>
      <c r="E31" s="373">
        <f>Grondeigenschappen!H11</f>
        <v>19</v>
      </c>
      <c r="F31" s="388">
        <f>Grondeigenschappen!K11</f>
        <v>90.5</v>
      </c>
      <c r="G31" s="388">
        <f>Grondeigenschappen!O11</f>
        <v>30</v>
      </c>
      <c r="H31" s="388">
        <f>Grondeigenschappen!P11</f>
        <v>0</v>
      </c>
      <c r="I31" s="390">
        <f>Grondeigenschappen!Q11</f>
        <v>0</v>
      </c>
    </row>
    <row r="32" spans="1:9" x14ac:dyDescent="0.2">
      <c r="A32" s="372">
        <f>Grondeigenschappen!B12</f>
        <v>-10</v>
      </c>
      <c r="B32" s="373">
        <f>Grondeigenschappen!C12</f>
        <v>-13</v>
      </c>
      <c r="C32" s="374" t="str">
        <f>Grondeigenschappen!E12</f>
        <v>Zand</v>
      </c>
      <c r="D32" s="373">
        <f>Grondeigenschappen!G12</f>
        <v>19</v>
      </c>
      <c r="E32" s="373">
        <f>Grondeigenschappen!H12</f>
        <v>21</v>
      </c>
      <c r="F32" s="388">
        <f>Grondeigenschappen!K12</f>
        <v>123.5</v>
      </c>
      <c r="G32" s="388">
        <f>Grondeigenschappen!O12</f>
        <v>30</v>
      </c>
      <c r="H32" s="388">
        <f>Grondeigenschappen!P12</f>
        <v>0</v>
      </c>
      <c r="I32" s="390">
        <f>Grondeigenschappen!Q12</f>
        <v>0</v>
      </c>
    </row>
    <row r="33" spans="1:9" x14ac:dyDescent="0.2">
      <c r="A33" s="372">
        <f>Grondeigenschappen!B13</f>
        <v>-13</v>
      </c>
      <c r="B33" s="373">
        <f>Grondeigenschappen!C13</f>
        <v>-15</v>
      </c>
      <c r="C33" s="374" t="str">
        <f>Grondeigenschappen!E13</f>
        <v>Zand</v>
      </c>
      <c r="D33" s="373">
        <f>Grondeigenschappen!G13</f>
        <v>19</v>
      </c>
      <c r="E33" s="373">
        <f>Grondeigenschappen!H13</f>
        <v>21</v>
      </c>
      <c r="F33" s="388">
        <f>Grondeigenschappen!K13</f>
        <v>145.5</v>
      </c>
      <c r="G33" s="388">
        <f>Grondeigenschappen!O13</f>
        <v>30</v>
      </c>
      <c r="H33" s="388">
        <f>Grondeigenschappen!P13</f>
        <v>0</v>
      </c>
      <c r="I33" s="390">
        <f>Grondeigenschappen!Q13</f>
        <v>0</v>
      </c>
    </row>
    <row r="34" spans="1:9" x14ac:dyDescent="0.2">
      <c r="A34" s="372">
        <f>Grondeigenschappen!B14</f>
        <v>-15</v>
      </c>
      <c r="B34" s="373">
        <f>Grondeigenschappen!C14</f>
        <v>0</v>
      </c>
      <c r="C34" s="374" t="str">
        <f>Grondeigenschappen!E14</f>
        <v>Zand</v>
      </c>
      <c r="D34" s="373">
        <f>Grondeigenschappen!G14</f>
        <v>0</v>
      </c>
      <c r="E34" s="373">
        <f>Grondeigenschappen!H14</f>
        <v>0</v>
      </c>
      <c r="F34" s="388">
        <f>Grondeigenschappen!K14</f>
        <v>280.5</v>
      </c>
      <c r="G34" s="388">
        <f>Grondeigenschappen!O14</f>
        <v>0</v>
      </c>
      <c r="H34" s="388">
        <f>Grondeigenschappen!P14</f>
        <v>0</v>
      </c>
      <c r="I34" s="390">
        <f>Grondeigenschappen!Q14</f>
        <v>0</v>
      </c>
    </row>
    <row r="35" spans="1:9" x14ac:dyDescent="0.2">
      <c r="A35" s="372">
        <f>Grondeigenschappen!B15</f>
        <v>0</v>
      </c>
      <c r="B35" s="373">
        <f>Grondeigenschappen!C15</f>
        <v>0</v>
      </c>
      <c r="C35" s="374" t="str">
        <f>Grondeigenschappen!E15</f>
        <v>Zand</v>
      </c>
      <c r="D35" s="373">
        <f>Grondeigenschappen!G15</f>
        <v>0</v>
      </c>
      <c r="E35" s="373">
        <f>Grondeigenschappen!H15</f>
        <v>0</v>
      </c>
      <c r="F35" s="388">
        <f>Grondeigenschappen!K15</f>
        <v>280.5</v>
      </c>
      <c r="G35" s="388">
        <f>Grondeigenschappen!O15</f>
        <v>0</v>
      </c>
      <c r="H35" s="388">
        <f>Grondeigenschappen!P15</f>
        <v>0</v>
      </c>
      <c r="I35" s="390">
        <f>Grondeigenschappen!Q15</f>
        <v>0</v>
      </c>
    </row>
    <row r="36" spans="1:9" ht="13.5" thickBot="1" x14ac:dyDescent="0.25">
      <c r="A36" s="378">
        <f>Grondeigenschappen!B16</f>
        <v>0</v>
      </c>
      <c r="B36" s="379">
        <f>Grondeigenschappen!C16</f>
        <v>0</v>
      </c>
      <c r="C36" s="380" t="str">
        <f>Grondeigenschappen!E16</f>
        <v>Zand</v>
      </c>
      <c r="D36" s="379">
        <f>Grondeigenschappen!G16</f>
        <v>0</v>
      </c>
      <c r="E36" s="379">
        <f>Grondeigenschappen!H16</f>
        <v>0</v>
      </c>
      <c r="F36" s="389">
        <f>Grondeigenschappen!K16</f>
        <v>280.5</v>
      </c>
      <c r="G36" s="389">
        <f>Grondeigenschappen!O16</f>
        <v>0</v>
      </c>
      <c r="H36" s="389">
        <f>Grondeigenschappen!P16</f>
        <v>0</v>
      </c>
      <c r="I36" s="391">
        <f>Grondeigenschappen!Q16</f>
        <v>0</v>
      </c>
    </row>
    <row r="37" spans="1:9" x14ac:dyDescent="0.2">
      <c r="A37" s="173"/>
    </row>
    <row r="38" spans="1:9" ht="13.5" thickBot="1" x14ac:dyDescent="0.25">
      <c r="A38" s="366" t="s">
        <v>570</v>
      </c>
    </row>
    <row r="39" spans="1:9" ht="13.5" x14ac:dyDescent="0.25">
      <c r="A39" s="367" t="s">
        <v>571</v>
      </c>
      <c r="B39" s="368" t="s">
        <v>572</v>
      </c>
      <c r="C39" s="369" t="s">
        <v>437</v>
      </c>
      <c r="D39" s="370" t="s">
        <v>573</v>
      </c>
      <c r="E39" s="369" t="s">
        <v>579</v>
      </c>
      <c r="F39" s="369" t="s">
        <v>580</v>
      </c>
      <c r="G39" s="370" t="s">
        <v>581</v>
      </c>
      <c r="H39" s="369" t="s">
        <v>582</v>
      </c>
      <c r="I39" s="371" t="s">
        <v>583</v>
      </c>
    </row>
    <row r="40" spans="1:9" ht="13.5" x14ac:dyDescent="0.2">
      <c r="A40" s="372" t="s">
        <v>584</v>
      </c>
      <c r="B40" s="373" t="s">
        <v>584</v>
      </c>
      <c r="C40" s="374"/>
      <c r="D40" s="374" t="s">
        <v>585</v>
      </c>
      <c r="E40" s="374" t="s">
        <v>585</v>
      </c>
      <c r="F40" s="374" t="s">
        <v>586</v>
      </c>
      <c r="G40" s="374" t="s">
        <v>193</v>
      </c>
      <c r="H40" s="374" t="s">
        <v>586</v>
      </c>
      <c r="I40" s="375" t="s">
        <v>586</v>
      </c>
    </row>
    <row r="41" spans="1:9" ht="13.5" thickBot="1" x14ac:dyDescent="0.25">
      <c r="A41" s="376" t="s">
        <v>587</v>
      </c>
      <c r="B41" s="377"/>
      <c r="C41" s="377"/>
      <c r="D41" s="380">
        <v>1.1000000000000001</v>
      </c>
      <c r="E41" s="380">
        <v>1.1000000000000001</v>
      </c>
      <c r="F41" s="380"/>
      <c r="G41" s="380">
        <v>1.1499999999999999</v>
      </c>
      <c r="H41" s="380">
        <v>1.6</v>
      </c>
      <c r="I41" s="381">
        <v>1.35</v>
      </c>
    </row>
    <row r="42" spans="1:9" x14ac:dyDescent="0.2">
      <c r="A42" s="372">
        <f>Grondeigenschappen!B23</f>
        <v>0.5</v>
      </c>
      <c r="B42" s="373">
        <f>Grondeigenschappen!C23</f>
        <v>0.5</v>
      </c>
      <c r="C42" s="374" t="str">
        <f>Grondeigenschappen!E23</f>
        <v>Zand</v>
      </c>
      <c r="D42" s="373">
        <f>Grondeigenschappen!G23</f>
        <v>17.27272727272727</v>
      </c>
      <c r="E42" s="373">
        <f>Grondeigenschappen!H23</f>
        <v>19.09090909090909</v>
      </c>
      <c r="F42" s="388">
        <f>Grondeigenschappen!K23</f>
        <v>0</v>
      </c>
      <c r="G42" s="388">
        <f>Grondeigenschappen!O23</f>
        <v>31.336236937858072</v>
      </c>
      <c r="H42" s="388">
        <f>Grondeigenschappen!P23</f>
        <v>0</v>
      </c>
      <c r="I42" s="390">
        <f>Grondeigenschappen!Q23</f>
        <v>0</v>
      </c>
    </row>
    <row r="43" spans="1:9" x14ac:dyDescent="0.2">
      <c r="A43" s="372">
        <f>Grondeigenschappen!B24</f>
        <v>0.5</v>
      </c>
      <c r="B43" s="373">
        <f>Grondeigenschappen!C24</f>
        <v>-1.5</v>
      </c>
      <c r="C43" s="374" t="str">
        <f>Grondeigenschappen!E24</f>
        <v>Zand</v>
      </c>
      <c r="D43" s="373">
        <f>Grondeigenschappen!G24</f>
        <v>17.27272727272727</v>
      </c>
      <c r="E43" s="373">
        <f>Grondeigenschappen!H24</f>
        <v>19.09090909090909</v>
      </c>
      <c r="F43" s="388">
        <f>Grondeigenschappen!K24</f>
        <v>34.54545454545454</v>
      </c>
      <c r="G43" s="388">
        <f>Grondeigenschappen!O24</f>
        <v>31.336236937858072</v>
      </c>
      <c r="H43" s="388">
        <f>Grondeigenschappen!P24</f>
        <v>0</v>
      </c>
      <c r="I43" s="390">
        <f>Grondeigenschappen!Q24</f>
        <v>0</v>
      </c>
    </row>
    <row r="44" spans="1:9" x14ac:dyDescent="0.2">
      <c r="A44" s="372">
        <f>Grondeigenschappen!B25</f>
        <v>-1.5</v>
      </c>
      <c r="B44" s="373">
        <f>Grondeigenschappen!C25</f>
        <v>-2</v>
      </c>
      <c r="C44" s="374" t="str">
        <f>Grondeigenschappen!E25</f>
        <v>Klei</v>
      </c>
      <c r="D44" s="373">
        <f>Grondeigenschappen!G25</f>
        <v>13.636363636363635</v>
      </c>
      <c r="E44" s="373">
        <f>Grondeigenschappen!H25</f>
        <v>13.636363636363635</v>
      </c>
      <c r="F44" s="388">
        <f>Grondeigenschappen!K25</f>
        <v>36.36363636363636</v>
      </c>
      <c r="G44" s="388">
        <f>Grondeigenschappen!O25</f>
        <v>19.808295231837807</v>
      </c>
      <c r="H44" s="388">
        <f>Grondeigenschappen!P25</f>
        <v>0</v>
      </c>
      <c r="I44" s="390">
        <f>Grondeigenschappen!Q25</f>
        <v>29.629629629629626</v>
      </c>
    </row>
    <row r="45" spans="1:9" x14ac:dyDescent="0.2">
      <c r="A45" s="372">
        <f>Grondeigenschappen!B26</f>
        <v>-2</v>
      </c>
      <c r="B45" s="373">
        <f>Grondeigenschappen!C26</f>
        <v>-4.5</v>
      </c>
      <c r="C45" s="374" t="str">
        <f>Grondeigenschappen!E26</f>
        <v>Veen</v>
      </c>
      <c r="D45" s="373">
        <f>Grondeigenschappen!G26</f>
        <v>10</v>
      </c>
      <c r="E45" s="373">
        <f>Grondeigenschappen!H26</f>
        <v>10</v>
      </c>
      <c r="F45" s="388">
        <f>Grondeigenschappen!K26</f>
        <v>36.36363636363636</v>
      </c>
      <c r="G45" s="388">
        <f>Grondeigenschappen!O26</f>
        <v>13.115870337879684</v>
      </c>
      <c r="H45" s="388">
        <f>Grondeigenschappen!P26</f>
        <v>0.625</v>
      </c>
      <c r="I45" s="390">
        <f>Grondeigenschappen!Q26</f>
        <v>11.111111111111111</v>
      </c>
    </row>
    <row r="46" spans="1:9" x14ac:dyDescent="0.2">
      <c r="A46" s="372">
        <f>Grondeigenschappen!B27</f>
        <v>-4.5</v>
      </c>
      <c r="B46" s="373">
        <f>Grondeigenschappen!C27</f>
        <v>-6.5</v>
      </c>
      <c r="C46" s="374" t="str">
        <f>Grondeigenschappen!E27</f>
        <v>Klei</v>
      </c>
      <c r="D46" s="373">
        <f>Grondeigenschappen!G27</f>
        <v>16.363636363636363</v>
      </c>
      <c r="E46" s="373">
        <f>Grondeigenschappen!H27</f>
        <v>16.363636363636363</v>
      </c>
      <c r="F46" s="388">
        <f>Grondeigenschappen!K27</f>
        <v>49.090909090909093</v>
      </c>
      <c r="G46" s="388">
        <f>Grondeigenschappen!O27</f>
        <v>24.354693562805618</v>
      </c>
      <c r="H46" s="388">
        <f>Grondeigenschappen!P27</f>
        <v>1.25</v>
      </c>
      <c r="I46" s="390">
        <f>Grondeigenschappen!Q27</f>
        <v>59.259259259259252</v>
      </c>
    </row>
    <row r="47" spans="1:9" x14ac:dyDescent="0.2">
      <c r="A47" s="372">
        <f>Grondeigenschappen!B28</f>
        <v>-6.5</v>
      </c>
      <c r="B47" s="373">
        <f>Grondeigenschappen!C28</f>
        <v>-10</v>
      </c>
      <c r="C47" s="374" t="str">
        <f>Grondeigenschappen!E28</f>
        <v>Zand</v>
      </c>
      <c r="D47" s="373">
        <f>Grondeigenschappen!G28</f>
        <v>15.454545454545453</v>
      </c>
      <c r="E47" s="373">
        <f>Grondeigenschappen!H28</f>
        <v>17.27272727272727</v>
      </c>
      <c r="F47" s="388">
        <f>Grondeigenschappen!K28</f>
        <v>74.545454545454533</v>
      </c>
      <c r="G47" s="388">
        <f>Grondeigenschappen!O28</f>
        <v>26.658651450173039</v>
      </c>
      <c r="H47" s="388">
        <f>Grondeigenschappen!P28</f>
        <v>0</v>
      </c>
      <c r="I47" s="390">
        <f>Grondeigenschappen!Q28</f>
        <v>0</v>
      </c>
    </row>
    <row r="48" spans="1:9" x14ac:dyDescent="0.2">
      <c r="A48" s="372">
        <f>Grondeigenschappen!B29</f>
        <v>-10</v>
      </c>
      <c r="B48" s="373">
        <f>Grondeigenschappen!C29</f>
        <v>-13</v>
      </c>
      <c r="C48" s="374" t="str">
        <f>Grondeigenschappen!E29</f>
        <v>Zand</v>
      </c>
      <c r="D48" s="373">
        <f>Grondeigenschappen!G29</f>
        <v>17.27272727272727</v>
      </c>
      <c r="E48" s="373">
        <f>Grondeigenschappen!H29</f>
        <v>19.09090909090909</v>
      </c>
      <c r="F48" s="388">
        <f>Grondeigenschappen!K29</f>
        <v>101.81818181818181</v>
      </c>
      <c r="G48" s="388">
        <f>Grondeigenschappen!O29</f>
        <v>26.658651450173039</v>
      </c>
      <c r="H48" s="388">
        <f>Grondeigenschappen!P29</f>
        <v>0</v>
      </c>
      <c r="I48" s="390">
        <f>Grondeigenschappen!Q29</f>
        <v>0</v>
      </c>
    </row>
    <row r="49" spans="1:9" x14ac:dyDescent="0.2">
      <c r="A49" s="372">
        <f>Grondeigenschappen!B30</f>
        <v>-13</v>
      </c>
      <c r="B49" s="373">
        <f>Grondeigenschappen!C30</f>
        <v>-15</v>
      </c>
      <c r="C49" s="374" t="str">
        <f>Grondeigenschappen!E30</f>
        <v>Zand</v>
      </c>
      <c r="D49" s="373">
        <f>Grondeigenschappen!G30</f>
        <v>17.27272727272727</v>
      </c>
      <c r="E49" s="373">
        <f>Grondeigenschappen!H30</f>
        <v>19.09090909090909</v>
      </c>
      <c r="F49" s="388">
        <f>Grondeigenschappen!K30</f>
        <v>120</v>
      </c>
      <c r="G49" s="388">
        <f>Grondeigenschappen!O30</f>
        <v>26.658651450173039</v>
      </c>
      <c r="H49" s="388">
        <f>Grondeigenschappen!P30</f>
        <v>0</v>
      </c>
      <c r="I49" s="390">
        <f>Grondeigenschappen!Q30</f>
        <v>0</v>
      </c>
    </row>
    <row r="50" spans="1:9" x14ac:dyDescent="0.2">
      <c r="A50" s="372">
        <f>Grondeigenschappen!B31</f>
        <v>-15</v>
      </c>
      <c r="B50" s="373">
        <f>Grondeigenschappen!C31</f>
        <v>0</v>
      </c>
      <c r="C50" s="374" t="str">
        <f>Grondeigenschappen!E31</f>
        <v>Zand</v>
      </c>
      <c r="D50" s="373">
        <f>Grondeigenschappen!G31</f>
        <v>0</v>
      </c>
      <c r="E50" s="373">
        <f>Grondeigenschappen!H31</f>
        <v>0</v>
      </c>
      <c r="F50" s="388">
        <f>Grondeigenschappen!K31</f>
        <v>255</v>
      </c>
      <c r="G50" s="388">
        <f>Grondeigenschappen!O31</f>
        <v>0</v>
      </c>
      <c r="H50" s="388">
        <f>Grondeigenschappen!P31</f>
        <v>0</v>
      </c>
      <c r="I50" s="390">
        <f>Grondeigenschappen!Q31</f>
        <v>0</v>
      </c>
    </row>
    <row r="51" spans="1:9" x14ac:dyDescent="0.2">
      <c r="A51" s="372">
        <f>Grondeigenschappen!B32</f>
        <v>0</v>
      </c>
      <c r="B51" s="373">
        <f>Grondeigenschappen!C32</f>
        <v>0</v>
      </c>
      <c r="C51" s="374" t="str">
        <f>Grondeigenschappen!E32</f>
        <v>Zand</v>
      </c>
      <c r="D51" s="373">
        <f>Grondeigenschappen!G32</f>
        <v>0</v>
      </c>
      <c r="E51" s="373">
        <f>Grondeigenschappen!H32</f>
        <v>0</v>
      </c>
      <c r="F51" s="388">
        <f>Grondeigenschappen!K32</f>
        <v>255</v>
      </c>
      <c r="G51" s="388">
        <f>Grondeigenschappen!O32</f>
        <v>0</v>
      </c>
      <c r="H51" s="388">
        <f>Grondeigenschappen!P32</f>
        <v>0</v>
      </c>
      <c r="I51" s="390">
        <f>Grondeigenschappen!Q32</f>
        <v>0</v>
      </c>
    </row>
    <row r="52" spans="1:9" ht="13.5" thickBot="1" x14ac:dyDescent="0.25">
      <c r="A52" s="378">
        <f>Grondeigenschappen!B33</f>
        <v>0</v>
      </c>
      <c r="B52" s="379">
        <f>Grondeigenschappen!C33</f>
        <v>0</v>
      </c>
      <c r="C52" s="380" t="str">
        <f>Grondeigenschappen!E33</f>
        <v>Zand</v>
      </c>
      <c r="D52" s="379">
        <f>Grondeigenschappen!G33</f>
        <v>0</v>
      </c>
      <c r="E52" s="379">
        <f>Grondeigenschappen!H33</f>
        <v>0</v>
      </c>
      <c r="F52" s="389">
        <f>Grondeigenschappen!K33</f>
        <v>255</v>
      </c>
      <c r="G52" s="389">
        <f>Grondeigenschappen!O33</f>
        <v>0</v>
      </c>
      <c r="H52" s="389">
        <f>Grondeigenschappen!P33</f>
        <v>0</v>
      </c>
      <c r="I52" s="391">
        <f>Grondeigenschappen!Q33</f>
        <v>0</v>
      </c>
    </row>
    <row r="54" spans="1:9" x14ac:dyDescent="0.2">
      <c r="A54" s="77" t="s">
        <v>591</v>
      </c>
    </row>
    <row r="55" spans="1:9" x14ac:dyDescent="0.2">
      <c r="A55" s="326" t="s">
        <v>157</v>
      </c>
    </row>
    <row r="56" spans="1:9" x14ac:dyDescent="0.2">
      <c r="A56" s="258" t="s">
        <v>438</v>
      </c>
      <c r="B56" s="2">
        <f>Draagvermogen!F3</f>
        <v>0.5</v>
      </c>
      <c r="C56" s="258" t="s">
        <v>584</v>
      </c>
    </row>
    <row r="57" spans="1:9" x14ac:dyDescent="0.2">
      <c r="A57" s="258" t="s">
        <v>439</v>
      </c>
    </row>
    <row r="58" spans="1:9" ht="15.75" x14ac:dyDescent="0.3">
      <c r="A58" s="258" t="s">
        <v>593</v>
      </c>
      <c r="C58" s="339">
        <f>Draagvermogen!H4</f>
        <v>32</v>
      </c>
      <c r="D58" s="258" t="s">
        <v>193</v>
      </c>
    </row>
    <row r="59" spans="1:9" x14ac:dyDescent="0.2">
      <c r="A59" s="140"/>
      <c r="B59" s="140"/>
      <c r="C59" s="140"/>
    </row>
    <row r="60" spans="1:9" ht="15.75" x14ac:dyDescent="0.3">
      <c r="A60" s="244" t="s">
        <v>620</v>
      </c>
      <c r="B60" s="140"/>
      <c r="C60" s="382">
        <f>Draagvermogen!F6</f>
        <v>1.5991069007678778</v>
      </c>
      <c r="D60" s="258" t="s">
        <v>8</v>
      </c>
    </row>
    <row r="61" spans="1:9" x14ac:dyDescent="0.2">
      <c r="A61" s="244" t="s">
        <v>592</v>
      </c>
      <c r="B61" s="140"/>
      <c r="C61" s="382">
        <f>Draagvermogen!F7</f>
        <v>5.6917800573132844</v>
      </c>
      <c r="D61" s="258" t="s">
        <v>2</v>
      </c>
    </row>
    <row r="62" spans="1:9" x14ac:dyDescent="0.2">
      <c r="A62" s="140"/>
      <c r="B62" s="140"/>
      <c r="C62" s="140"/>
    </row>
    <row r="63" spans="1:9" ht="15.75" x14ac:dyDescent="0.3">
      <c r="A63" s="244" t="s">
        <v>594</v>
      </c>
      <c r="B63" s="42">
        <f>Draagvermogen!F10</f>
        <v>27.567391763638561</v>
      </c>
      <c r="C63" s="244" t="s">
        <v>193</v>
      </c>
    </row>
    <row r="64" spans="1:9" ht="15.75" x14ac:dyDescent="0.3">
      <c r="A64" s="244" t="s">
        <v>595</v>
      </c>
      <c r="B64" s="42">
        <f>Draagvermogen!F11</f>
        <v>24.416516738535666</v>
      </c>
      <c r="C64" s="244" t="s">
        <v>193</v>
      </c>
    </row>
    <row r="65" spans="1:3" ht="15.75" x14ac:dyDescent="0.3">
      <c r="A65" s="244" t="s">
        <v>596</v>
      </c>
      <c r="B65" s="42">
        <f>Draagvermogen!F12</f>
        <v>0.2057719507155748</v>
      </c>
      <c r="C65" s="383" t="s">
        <v>455</v>
      </c>
    </row>
    <row r="66" spans="1:3" ht="15.75" x14ac:dyDescent="0.3">
      <c r="A66" s="244" t="s">
        <v>597</v>
      </c>
      <c r="B66" s="42">
        <f>Draagvermogen!F13</f>
        <v>10.486372250453451</v>
      </c>
      <c r="C66" s="383" t="s">
        <v>454</v>
      </c>
    </row>
    <row r="67" spans="1:3" x14ac:dyDescent="0.2">
      <c r="A67" s="140"/>
      <c r="B67" s="52"/>
      <c r="C67" s="140"/>
    </row>
    <row r="68" spans="1:3" ht="15.75" x14ac:dyDescent="0.3">
      <c r="A68" s="244" t="s">
        <v>604</v>
      </c>
      <c r="B68" s="52">
        <f>Draagvermogen!F15</f>
        <v>0</v>
      </c>
      <c r="C68" s="383" t="s">
        <v>455</v>
      </c>
    </row>
    <row r="69" spans="1:3" ht="15.75" x14ac:dyDescent="0.3">
      <c r="A69" s="244" t="s">
        <v>608</v>
      </c>
      <c r="B69" s="42">
        <f>Draagvermogen!F16</f>
        <v>1</v>
      </c>
      <c r="C69" s="244" t="s">
        <v>8</v>
      </c>
    </row>
    <row r="70" spans="1:3" ht="15.75" x14ac:dyDescent="0.3">
      <c r="A70" s="244" t="s">
        <v>609</v>
      </c>
      <c r="B70" s="42">
        <f>Draagvermogen!F17</f>
        <v>1</v>
      </c>
      <c r="C70" s="244" t="s">
        <v>8</v>
      </c>
    </row>
    <row r="71" spans="1:3" ht="15.75" x14ac:dyDescent="0.3">
      <c r="A71" s="244" t="s">
        <v>610</v>
      </c>
      <c r="B71" s="42">
        <f>Draagvermogen!F18</f>
        <v>1</v>
      </c>
      <c r="C71" s="244" t="s">
        <v>8</v>
      </c>
    </row>
    <row r="72" spans="1:3" x14ac:dyDescent="0.2">
      <c r="A72" s="140"/>
      <c r="B72" s="52"/>
      <c r="C72" s="244"/>
    </row>
    <row r="73" spans="1:3" ht="15.75" x14ac:dyDescent="0.3">
      <c r="A73" s="244" t="s">
        <v>611</v>
      </c>
      <c r="B73" s="42">
        <f>Draagvermogen!F20</f>
        <v>10.02931469558157</v>
      </c>
      <c r="C73" s="244" t="s">
        <v>8</v>
      </c>
    </row>
    <row r="74" spans="1:3" ht="15.75" x14ac:dyDescent="0.3">
      <c r="A74" s="244" t="s">
        <v>612</v>
      </c>
      <c r="B74" s="42">
        <f>Draagvermogen!F21</f>
        <v>19.889771100499598</v>
      </c>
      <c r="C74" s="244" t="s">
        <v>8</v>
      </c>
    </row>
    <row r="75" spans="1:3" ht="15.75" x14ac:dyDescent="0.3">
      <c r="A75" s="244" t="s">
        <v>613</v>
      </c>
      <c r="B75" s="42">
        <f>Draagvermogen!F22</f>
        <v>8.1980354082403153</v>
      </c>
      <c r="C75" s="244" t="s">
        <v>8</v>
      </c>
    </row>
    <row r="76" spans="1:3" x14ac:dyDescent="0.2">
      <c r="A76" s="140"/>
      <c r="B76" s="42"/>
      <c r="C76" s="140"/>
    </row>
    <row r="77" spans="1:3" ht="15.75" x14ac:dyDescent="0.3">
      <c r="A77" s="244" t="s">
        <v>614</v>
      </c>
      <c r="B77" s="42">
        <f>Draagvermogen!F24</f>
        <v>1.3461923116839614</v>
      </c>
      <c r="C77" s="244" t="s">
        <v>8</v>
      </c>
    </row>
    <row r="78" spans="1:3" ht="15.75" x14ac:dyDescent="0.3">
      <c r="A78" s="244" t="s">
        <v>615</v>
      </c>
      <c r="B78" s="42">
        <f>Draagvermogen!F25</f>
        <v>1.3845332404648985</v>
      </c>
      <c r="C78" s="244" t="s">
        <v>8</v>
      </c>
    </row>
    <row r="79" spans="1:3" ht="15.75" x14ac:dyDescent="0.3">
      <c r="A79" s="244" t="s">
        <v>616</v>
      </c>
      <c r="B79" s="42">
        <f>Draagvermogen!F26</f>
        <v>0.74875181281809955</v>
      </c>
      <c r="C79" s="244" t="s">
        <v>8</v>
      </c>
    </row>
    <row r="80" spans="1:3" x14ac:dyDescent="0.2">
      <c r="A80" s="244"/>
      <c r="B80" s="42"/>
      <c r="C80" s="140"/>
    </row>
    <row r="81" spans="1:3" ht="15.75" x14ac:dyDescent="0.3">
      <c r="A81" s="244" t="s">
        <v>617</v>
      </c>
      <c r="B81" s="42">
        <f>Draagvermogen!F28</f>
        <v>0.95370912037988709</v>
      </c>
      <c r="C81" s="244" t="s">
        <v>8</v>
      </c>
    </row>
    <row r="82" spans="1:3" ht="15.75" x14ac:dyDescent="0.3">
      <c r="A82" s="244" t="s">
        <v>618</v>
      </c>
      <c r="B82" s="42">
        <f>Draagvermogen!F29</f>
        <v>0.94858238804406925</v>
      </c>
      <c r="C82" s="244" t="s">
        <v>8</v>
      </c>
    </row>
    <row r="83" spans="1:3" ht="15.75" x14ac:dyDescent="0.3">
      <c r="A83" s="244" t="s">
        <v>619</v>
      </c>
      <c r="B83" s="42">
        <f>Draagvermogen!F30</f>
        <v>0.93387017197126732</v>
      </c>
      <c r="C83" s="244" t="s">
        <v>8</v>
      </c>
    </row>
    <row r="84" spans="1:3" x14ac:dyDescent="0.2">
      <c r="A84" s="140"/>
      <c r="B84" s="52"/>
      <c r="C84" s="140"/>
    </row>
    <row r="85" spans="1:3" x14ac:dyDescent="0.2">
      <c r="A85" s="140"/>
      <c r="B85" s="52"/>
      <c r="C85" s="140"/>
    </row>
    <row r="86" spans="1:3" ht="15.75" x14ac:dyDescent="0.3">
      <c r="A86" s="244" t="s">
        <v>598</v>
      </c>
      <c r="B86" s="42">
        <f>Draagvermogen!F32</f>
        <v>112.35457505481779</v>
      </c>
      <c r="C86" s="383" t="s">
        <v>455</v>
      </c>
    </row>
    <row r="87" spans="1:3" ht="14.25" x14ac:dyDescent="0.2">
      <c r="A87" s="245" t="s">
        <v>599</v>
      </c>
      <c r="B87" s="42">
        <f>Draagvermogen!B7</f>
        <v>15.127234603243592</v>
      </c>
      <c r="C87" s="244" t="s">
        <v>600</v>
      </c>
    </row>
    <row r="88" spans="1:3" x14ac:dyDescent="0.2">
      <c r="A88" s="245"/>
      <c r="B88" s="42"/>
      <c r="C88" s="244"/>
    </row>
    <row r="89" spans="1:3" ht="15.75" x14ac:dyDescent="0.3">
      <c r="A89" s="245" t="s">
        <v>601</v>
      </c>
      <c r="B89" s="384">
        <f>Draagvermogen!F33</f>
        <v>1699.614015601969</v>
      </c>
      <c r="C89" s="244" t="s">
        <v>63</v>
      </c>
    </row>
    <row r="90" spans="1:3" ht="15.75" x14ac:dyDescent="0.3">
      <c r="A90" s="245" t="s">
        <v>602</v>
      </c>
      <c r="B90" s="384">
        <f>Draagvermogen!F34</f>
        <v>1817.5451612903228</v>
      </c>
      <c r="C90" s="244" t="s">
        <v>63</v>
      </c>
    </row>
    <row r="91" spans="1:3" x14ac:dyDescent="0.2">
      <c r="A91" s="245" t="s">
        <v>603</v>
      </c>
      <c r="B91" s="42">
        <f>Draagvermogen!F36</f>
        <v>1.0693870164671389</v>
      </c>
      <c r="C91" s="244" t="s">
        <v>8</v>
      </c>
    </row>
    <row r="92" spans="1:3" x14ac:dyDescent="0.2">
      <c r="A92" s="140"/>
      <c r="B92" s="392" t="str">
        <f>Draagvermogen!F37</f>
        <v>Voldoet niet</v>
      </c>
      <c r="C92" s="140"/>
    </row>
    <row r="94" spans="1:3" x14ac:dyDescent="0.2">
      <c r="A94" s="326" t="s">
        <v>154</v>
      </c>
    </row>
    <row r="95" spans="1:3" x14ac:dyDescent="0.2">
      <c r="A95" s="244" t="s">
        <v>438</v>
      </c>
      <c r="B95" s="42">
        <f>Draagvermogen!L3</f>
        <v>0.5</v>
      </c>
      <c r="C95" s="244" t="s">
        <v>584</v>
      </c>
    </row>
    <row r="96" spans="1:3" x14ac:dyDescent="0.2">
      <c r="A96" s="244" t="s">
        <v>439</v>
      </c>
      <c r="B96" s="140"/>
      <c r="C96" s="140"/>
    </row>
    <row r="97" spans="1:7" x14ac:dyDescent="0.2">
      <c r="A97" s="244" t="s">
        <v>621</v>
      </c>
      <c r="B97" s="140"/>
      <c r="C97" s="2">
        <f>Draagvermogen!N4</f>
        <v>-1.5</v>
      </c>
      <c r="D97" s="258" t="s">
        <v>584</v>
      </c>
    </row>
    <row r="98" spans="1:7" x14ac:dyDescent="0.2">
      <c r="A98" s="244" t="s">
        <v>622</v>
      </c>
      <c r="B98" s="140"/>
      <c r="C98" s="2">
        <f>Draagvermogen!L5</f>
        <v>2</v>
      </c>
      <c r="D98" s="258" t="s">
        <v>2</v>
      </c>
    </row>
    <row r="99" spans="1:7" x14ac:dyDescent="0.2">
      <c r="A99" s="140"/>
      <c r="B99" s="140"/>
      <c r="C99" s="140"/>
    </row>
    <row r="100" spans="1:7" x14ac:dyDescent="0.2">
      <c r="A100" s="140" t="str">
        <f>Draagvermogen!K6</f>
        <v>Invloedsdiepte Ze reikt voorbij de eerste cohesieve laag</v>
      </c>
      <c r="B100" s="140"/>
      <c r="C100" s="140"/>
      <c r="F100" s="385" t="s">
        <v>605</v>
      </c>
      <c r="G100" t="str">
        <f>Draagvermogen!K7</f>
        <v>Controle benodigd</v>
      </c>
    </row>
    <row r="101" spans="1:7" x14ac:dyDescent="0.2">
      <c r="A101" s="140"/>
      <c r="B101" s="140"/>
      <c r="C101" s="140"/>
    </row>
    <row r="102" spans="1:7" x14ac:dyDescent="0.2">
      <c r="A102" s="244" t="s">
        <v>479</v>
      </c>
      <c r="B102" s="42">
        <f>Draagvermogen!L9</f>
        <v>4.1215126572198226</v>
      </c>
      <c r="C102" s="244" t="s">
        <v>2</v>
      </c>
      <c r="D102" s="258" t="s">
        <v>484</v>
      </c>
    </row>
    <row r="103" spans="1:7" x14ac:dyDescent="0.2">
      <c r="A103" s="244" t="s">
        <v>480</v>
      </c>
      <c r="B103" s="42">
        <f>Draagvermogen!L10</f>
        <v>4.8121633388095661</v>
      </c>
      <c r="C103" s="244" t="s">
        <v>2</v>
      </c>
      <c r="D103" s="258" t="s">
        <v>485</v>
      </c>
    </row>
    <row r="104" spans="1:7" ht="14.25" x14ac:dyDescent="0.2">
      <c r="A104" s="244" t="s">
        <v>488</v>
      </c>
      <c r="B104" s="42">
        <f>Draagvermogen!L11</f>
        <v>19.833392109512829</v>
      </c>
      <c r="C104" s="244" t="s">
        <v>600</v>
      </c>
      <c r="D104" s="258" t="s">
        <v>495</v>
      </c>
    </row>
    <row r="105" spans="1:7" ht="15.75" x14ac:dyDescent="0.3">
      <c r="A105" s="244" t="s">
        <v>486</v>
      </c>
      <c r="B105" s="42">
        <f>Draagvermogen!L12</f>
        <v>29.629629629629626</v>
      </c>
      <c r="C105" s="244" t="s">
        <v>487</v>
      </c>
    </row>
    <row r="106" spans="1:7" ht="15.75" x14ac:dyDescent="0.3">
      <c r="A106" s="244" t="s">
        <v>606</v>
      </c>
      <c r="B106" s="42">
        <f>Draagvermogen!L13</f>
        <v>1.1712956259809504</v>
      </c>
      <c r="C106" s="244" t="s">
        <v>8</v>
      </c>
    </row>
    <row r="107" spans="1:7" ht="15.75" x14ac:dyDescent="0.3">
      <c r="A107" s="244" t="s">
        <v>607</v>
      </c>
      <c r="B107" s="42">
        <f>Draagvermogen!L14</f>
        <v>0.94572897638012232</v>
      </c>
      <c r="C107" s="244" t="s">
        <v>8</v>
      </c>
    </row>
    <row r="108" spans="1:7" x14ac:dyDescent="0.2">
      <c r="A108" s="140"/>
      <c r="B108" s="42"/>
      <c r="C108" s="140"/>
    </row>
    <row r="109" spans="1:7" ht="15.75" x14ac:dyDescent="0.3">
      <c r="A109" s="244" t="s">
        <v>489</v>
      </c>
      <c r="B109" s="42">
        <f>Draagvermogen!L16</f>
        <v>34.54545454545454</v>
      </c>
      <c r="C109" s="383" t="s">
        <v>455</v>
      </c>
    </row>
    <row r="110" spans="1:7" x14ac:dyDescent="0.2">
      <c r="A110" s="140"/>
      <c r="B110" s="52"/>
      <c r="C110" s="140"/>
    </row>
    <row r="111" spans="1:7" ht="15.75" x14ac:dyDescent="0.3">
      <c r="A111" s="244" t="s">
        <v>598</v>
      </c>
      <c r="B111" s="42">
        <f>Draagvermogen!L18</f>
        <v>203.30063215074708</v>
      </c>
      <c r="C111" s="383" t="s">
        <v>455</v>
      </c>
    </row>
    <row r="112" spans="1:7" ht="14.25" x14ac:dyDescent="0.2">
      <c r="A112" s="245" t="s">
        <v>599</v>
      </c>
      <c r="B112" s="42">
        <f>Draagvermogen!L11</f>
        <v>19.833392109512829</v>
      </c>
      <c r="C112" s="244" t="s">
        <v>600</v>
      </c>
    </row>
    <row r="113" spans="1:4" x14ac:dyDescent="0.2">
      <c r="A113" s="140"/>
      <c r="B113" s="52"/>
      <c r="C113" s="140"/>
    </row>
    <row r="114" spans="1:4" ht="15.75" x14ac:dyDescent="0.3">
      <c r="A114" s="245" t="s">
        <v>601</v>
      </c>
      <c r="B114" s="384">
        <f>Draagvermogen!L19</f>
        <v>4032.1411535575971</v>
      </c>
      <c r="C114" s="244" t="s">
        <v>63</v>
      </c>
    </row>
    <row r="115" spans="1:4" ht="15.75" x14ac:dyDescent="0.3">
      <c r="A115" s="245" t="s">
        <v>602</v>
      </c>
      <c r="B115" s="384">
        <f>Draagvermogen!L20</f>
        <v>1817.5451612903228</v>
      </c>
      <c r="C115" s="244" t="s">
        <v>63</v>
      </c>
    </row>
    <row r="116" spans="1:4" x14ac:dyDescent="0.2">
      <c r="A116" s="245" t="s">
        <v>603</v>
      </c>
      <c r="B116" s="42">
        <f>Draagvermogen!L22</f>
        <v>0.45076426942213693</v>
      </c>
      <c r="C116" s="244" t="s">
        <v>8</v>
      </c>
    </row>
    <row r="117" spans="1:4" x14ac:dyDescent="0.2">
      <c r="A117" s="140"/>
      <c r="B117" s="392" t="str">
        <f>Draagvermogen!L23</f>
        <v>Voldoet</v>
      </c>
      <c r="C117" s="140"/>
    </row>
    <row r="118" spans="1:4" x14ac:dyDescent="0.2">
      <c r="A118" s="140"/>
      <c r="B118" s="140"/>
      <c r="C118" s="140"/>
    </row>
    <row r="119" spans="1:4" x14ac:dyDescent="0.2">
      <c r="A119" s="140"/>
      <c r="B119" s="140"/>
      <c r="C119" s="140"/>
    </row>
    <row r="120" spans="1:4" x14ac:dyDescent="0.2">
      <c r="A120" s="386" t="s">
        <v>182</v>
      </c>
      <c r="B120" s="140"/>
      <c r="C120" s="140"/>
    </row>
    <row r="121" spans="1:4" x14ac:dyDescent="0.2">
      <c r="A121" s="258" t="s">
        <v>438</v>
      </c>
      <c r="B121" s="2">
        <f>Draagvermogen!S3</f>
        <v>0.5</v>
      </c>
      <c r="C121" s="258" t="s">
        <v>584</v>
      </c>
    </row>
    <row r="122" spans="1:4" x14ac:dyDescent="0.2">
      <c r="A122" s="258" t="s">
        <v>439</v>
      </c>
    </row>
    <row r="123" spans="1:4" x14ac:dyDescent="0.2">
      <c r="A123" s="244" t="s">
        <v>621</v>
      </c>
      <c r="C123" s="2">
        <f>Draagvermogen!U4</f>
        <v>-1.5</v>
      </c>
      <c r="D123" s="258" t="s">
        <v>584</v>
      </c>
    </row>
    <row r="124" spans="1:4" x14ac:dyDescent="0.2">
      <c r="A124" s="244" t="s">
        <v>622</v>
      </c>
      <c r="C124" s="2">
        <f>Draagvermogen!S5</f>
        <v>2</v>
      </c>
      <c r="D124" s="258" t="s">
        <v>2</v>
      </c>
    </row>
    <row r="125" spans="1:4" x14ac:dyDescent="0.2">
      <c r="A125" s="244"/>
    </row>
    <row r="126" spans="1:4" ht="15.75" x14ac:dyDescent="0.3">
      <c r="A126" s="258" t="s">
        <v>593</v>
      </c>
      <c r="C126">
        <f>Draagvermogen!U14</f>
        <v>23</v>
      </c>
      <c r="D126" s="258" t="s">
        <v>193</v>
      </c>
    </row>
    <row r="127" spans="1:4" x14ac:dyDescent="0.2">
      <c r="A127" s="244"/>
    </row>
    <row r="128" spans="1:4" ht="15.75" x14ac:dyDescent="0.3">
      <c r="A128" s="244" t="s">
        <v>620</v>
      </c>
      <c r="C128" s="173">
        <f>Draagvermogen!S16</f>
        <v>1.2254925973104216</v>
      </c>
      <c r="D128" s="258" t="s">
        <v>8</v>
      </c>
    </row>
    <row r="129" spans="1:4" x14ac:dyDescent="0.2">
      <c r="A129" s="244" t="s">
        <v>592</v>
      </c>
      <c r="C129" s="173">
        <f>Draagvermogen!S17</f>
        <v>5.0508832511440982</v>
      </c>
      <c r="D129" s="258" t="s">
        <v>2</v>
      </c>
    </row>
    <row r="130" spans="1:4" x14ac:dyDescent="0.2">
      <c r="A130" s="140"/>
    </row>
    <row r="131" spans="1:4" x14ac:dyDescent="0.2">
      <c r="A131" s="244" t="s">
        <v>479</v>
      </c>
      <c r="B131" s="2">
        <f>Draagvermogen!S10</f>
        <v>4.1215126572198226</v>
      </c>
      <c r="C131" s="244" t="s">
        <v>2</v>
      </c>
    </row>
    <row r="132" spans="1:4" x14ac:dyDescent="0.2">
      <c r="A132" s="244" t="s">
        <v>480</v>
      </c>
      <c r="B132" s="2">
        <f>Draagvermogen!S11</f>
        <v>4.8121633388095661</v>
      </c>
      <c r="C132" s="244" t="s">
        <v>2</v>
      </c>
    </row>
    <row r="133" spans="1:4" ht="14.25" x14ac:dyDescent="0.2">
      <c r="A133" s="244" t="s">
        <v>488</v>
      </c>
      <c r="B133" s="2">
        <f>Draagvermogen!S12</f>
        <v>19.833392109512829</v>
      </c>
      <c r="C133" s="244" t="s">
        <v>600</v>
      </c>
    </row>
    <row r="134" spans="1:4" x14ac:dyDescent="0.2">
      <c r="A134" s="244"/>
      <c r="B134" s="339"/>
    </row>
    <row r="135" spans="1:4" ht="15.75" x14ac:dyDescent="0.3">
      <c r="A135" s="244" t="s">
        <v>594</v>
      </c>
      <c r="B135" s="2">
        <f>Draagvermogen!S19</f>
        <v>18.472547506389869</v>
      </c>
      <c r="C135" s="244" t="s">
        <v>193</v>
      </c>
    </row>
    <row r="136" spans="1:4" ht="15.75" x14ac:dyDescent="0.3">
      <c r="A136" s="244" t="s">
        <v>595</v>
      </c>
      <c r="B136" s="2">
        <f>Draagvermogen!S20</f>
        <v>16.198012514013062</v>
      </c>
      <c r="C136" s="244" t="s">
        <v>193</v>
      </c>
    </row>
    <row r="137" spans="1:4" ht="15.75" x14ac:dyDescent="0.3">
      <c r="A137" s="244" t="s">
        <v>596</v>
      </c>
      <c r="B137" s="2">
        <f>Draagvermogen!S21</f>
        <v>0.61030218736854269</v>
      </c>
      <c r="C137" s="383" t="s">
        <v>455</v>
      </c>
    </row>
    <row r="138" spans="1:4" ht="15.75" x14ac:dyDescent="0.3">
      <c r="A138" s="244" t="s">
        <v>597</v>
      </c>
      <c r="B138" s="2">
        <f>Draagvermogen!S22</f>
        <v>1.7335898908889982</v>
      </c>
      <c r="C138" s="383" t="s">
        <v>454</v>
      </c>
    </row>
    <row r="139" spans="1:4" x14ac:dyDescent="0.2">
      <c r="A139" s="140"/>
      <c r="B139" s="339"/>
      <c r="C139" s="140"/>
    </row>
    <row r="140" spans="1:4" ht="15.75" x14ac:dyDescent="0.3">
      <c r="A140" s="244" t="s">
        <v>604</v>
      </c>
      <c r="B140" s="2">
        <f>Draagvermogen!S24</f>
        <v>34.54545454545454</v>
      </c>
      <c r="C140" s="383" t="s">
        <v>455</v>
      </c>
    </row>
    <row r="141" spans="1:4" ht="15.75" x14ac:dyDescent="0.3">
      <c r="A141" s="244" t="s">
        <v>608</v>
      </c>
      <c r="B141" s="2">
        <f>Draagvermogen!S25</f>
        <v>1</v>
      </c>
      <c r="C141" s="244" t="s">
        <v>8</v>
      </c>
    </row>
    <row r="142" spans="1:4" ht="15.75" x14ac:dyDescent="0.3">
      <c r="A142" s="244" t="s">
        <v>609</v>
      </c>
      <c r="B142" s="2">
        <f>Draagvermogen!S26</f>
        <v>1</v>
      </c>
      <c r="C142" s="244" t="s">
        <v>8</v>
      </c>
    </row>
    <row r="143" spans="1:4" ht="15.75" x14ac:dyDescent="0.3">
      <c r="A143" s="244" t="s">
        <v>610</v>
      </c>
      <c r="B143" s="2">
        <f>Draagvermogen!S27</f>
        <v>1</v>
      </c>
      <c r="C143" s="244" t="s">
        <v>8</v>
      </c>
    </row>
    <row r="144" spans="1:4" x14ac:dyDescent="0.2">
      <c r="A144" s="140"/>
      <c r="B144" s="2"/>
      <c r="C144" s="244"/>
    </row>
    <row r="145" spans="1:3" ht="15.75" x14ac:dyDescent="0.3">
      <c r="A145" s="244" t="s">
        <v>611</v>
      </c>
      <c r="B145" s="2">
        <f>Draagvermogen!S29</f>
        <v>4.4180657888757606</v>
      </c>
      <c r="C145" s="244" t="s">
        <v>8</v>
      </c>
    </row>
    <row r="146" spans="1:3" ht="15.75" x14ac:dyDescent="0.3">
      <c r="A146" s="244" t="s">
        <v>612</v>
      </c>
      <c r="B146" s="2">
        <f>Draagvermogen!S30</f>
        <v>11.766583080671191</v>
      </c>
      <c r="C146" s="244" t="s">
        <v>8</v>
      </c>
    </row>
    <row r="147" spans="1:3" ht="15.75" x14ac:dyDescent="0.3">
      <c r="A147" s="244" t="s">
        <v>613</v>
      </c>
      <c r="B147" s="2">
        <f>Draagvermogen!S31</f>
        <v>1.9858226737504909</v>
      </c>
      <c r="C147" s="244" t="s">
        <v>8</v>
      </c>
    </row>
    <row r="148" spans="1:3" x14ac:dyDescent="0.2">
      <c r="A148" s="140"/>
      <c r="B148" s="2"/>
      <c r="C148" s="140"/>
    </row>
    <row r="149" spans="1:3" ht="15.75" x14ac:dyDescent="0.3">
      <c r="A149" s="244" t="s">
        <v>614</v>
      </c>
      <c r="B149" s="2">
        <f>Draagvermogen!S33</f>
        <v>1.2389212506153244</v>
      </c>
      <c r="C149" s="244" t="s">
        <v>8</v>
      </c>
    </row>
    <row r="150" spans="1:3" ht="15.75" x14ac:dyDescent="0.3">
      <c r="A150" s="244" t="s">
        <v>615</v>
      </c>
      <c r="B150" s="2">
        <f>Draagvermogen!S34</f>
        <v>1.3088207977196851</v>
      </c>
      <c r="C150" s="244" t="s">
        <v>8</v>
      </c>
    </row>
    <row r="151" spans="1:3" ht="15.75" x14ac:dyDescent="0.3">
      <c r="A151" s="244" t="s">
        <v>616</v>
      </c>
      <c r="B151" s="2">
        <f>Draagvermogen!S35</f>
        <v>0.74305656102857454</v>
      </c>
      <c r="C151" s="244" t="s">
        <v>8</v>
      </c>
    </row>
    <row r="152" spans="1:3" x14ac:dyDescent="0.2">
      <c r="A152" s="244"/>
      <c r="B152" s="2"/>
      <c r="C152" s="140"/>
    </row>
    <row r="153" spans="1:3" ht="15.75" x14ac:dyDescent="0.3">
      <c r="A153" s="244" t="s">
        <v>617</v>
      </c>
      <c r="B153" s="2">
        <f>Draagvermogen!S37</f>
        <v>0.86982395277646041</v>
      </c>
      <c r="C153" s="244" t="s">
        <v>8</v>
      </c>
    </row>
    <row r="154" spans="1:3" ht="15.75" x14ac:dyDescent="0.3">
      <c r="A154" s="244" t="s">
        <v>618</v>
      </c>
      <c r="B154" s="2">
        <f>Draagvermogen!S38</f>
        <v>0.83173924192999182</v>
      </c>
      <c r="C154" s="244" t="s">
        <v>8</v>
      </c>
    </row>
    <row r="155" spans="1:3" ht="15.75" x14ac:dyDescent="0.3">
      <c r="A155" s="244" t="s">
        <v>619</v>
      </c>
      <c r="B155" s="2">
        <f>Draagvermogen!S39</f>
        <v>0.81768468760533697</v>
      </c>
      <c r="C155" s="244" t="s">
        <v>8</v>
      </c>
    </row>
    <row r="156" spans="1:3" x14ac:dyDescent="0.2">
      <c r="A156" s="140"/>
      <c r="B156" s="339"/>
      <c r="C156" s="140"/>
    </row>
    <row r="157" spans="1:3" x14ac:dyDescent="0.2">
      <c r="A157" s="140"/>
      <c r="B157" s="339"/>
      <c r="C157" s="140"/>
    </row>
    <row r="158" spans="1:3" ht="15.75" x14ac:dyDescent="0.3">
      <c r="A158" s="244" t="s">
        <v>598</v>
      </c>
      <c r="B158" s="2">
        <f>Draagvermogen!S41</f>
        <v>176.60218325488043</v>
      </c>
      <c r="C158" s="383" t="s">
        <v>455</v>
      </c>
    </row>
    <row r="159" spans="1:3" ht="14.25" x14ac:dyDescent="0.2">
      <c r="A159" s="245" t="s">
        <v>599</v>
      </c>
      <c r="B159" s="2">
        <f>Draagvermogen!S12</f>
        <v>19.833392109512829</v>
      </c>
      <c r="C159" s="244" t="s">
        <v>600</v>
      </c>
    </row>
    <row r="160" spans="1:3" x14ac:dyDescent="0.2">
      <c r="A160" s="245"/>
      <c r="B160" s="339"/>
      <c r="C160" s="244"/>
    </row>
    <row r="161" spans="1:3" ht="15.75" x14ac:dyDescent="0.3">
      <c r="A161" s="245" t="s">
        <v>601</v>
      </c>
      <c r="B161" s="339">
        <f>Draagvermogen!S42</f>
        <v>3502.6203478900843</v>
      </c>
      <c r="C161" s="244" t="s">
        <v>63</v>
      </c>
    </row>
    <row r="162" spans="1:3" ht="15.75" x14ac:dyDescent="0.3">
      <c r="A162" s="245" t="s">
        <v>602</v>
      </c>
      <c r="B162" s="339">
        <f>Draagvermogen!S43</f>
        <v>2444.6377957520572</v>
      </c>
      <c r="C162" s="244" t="s">
        <v>63</v>
      </c>
    </row>
    <row r="163" spans="1:3" x14ac:dyDescent="0.2">
      <c r="A163" s="245" t="s">
        <v>603</v>
      </c>
      <c r="B163" s="2">
        <f>Draagvermogen!S45</f>
        <v>0.69794541027681267</v>
      </c>
      <c r="C163" s="244" t="s">
        <v>8</v>
      </c>
    </row>
    <row r="164" spans="1:3" x14ac:dyDescent="0.2">
      <c r="B164" s="393" t="str">
        <f>Draagvermogen!S46</f>
        <v>Voldoet</v>
      </c>
    </row>
  </sheetData>
  <pageMargins left="0.70866141732283472" right="0.70866141732283472" top="1.5748031496062993" bottom="0.74803149606299213" header="0.31496062992125984" footer="0.31496062992125984"/>
  <pageSetup paperSize="9" orientation="portrait" verticalDpi="0" r:id="rId1"/>
  <headerFooter>
    <oddHeader>&amp;C&amp;G&amp;R&amp;8
Pagina &amp;P van &amp;N</oddHeader>
  </headerFooter>
  <rowBreaks count="2" manualBreakCount="2">
    <brk id="93" max="16383" man="1"/>
    <brk id="119" max="16383"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abSelected="1" zoomScaleNormal="100" workbookViewId="0">
      <selection activeCell="M36" sqref="M36"/>
    </sheetView>
  </sheetViews>
  <sheetFormatPr defaultRowHeight="12.75" x14ac:dyDescent="0.2"/>
  <cols>
    <col min="2" max="2" width="4.28515625" customWidth="1"/>
    <col min="3" max="3" width="11.28515625" customWidth="1"/>
  </cols>
  <sheetData>
    <row r="1" spans="1:12" x14ac:dyDescent="0.2">
      <c r="A1" s="357" t="s">
        <v>542</v>
      </c>
      <c r="B1" s="358"/>
      <c r="C1" s="358"/>
      <c r="D1" s="358"/>
      <c r="E1" s="358"/>
      <c r="F1" s="358"/>
      <c r="G1" s="358"/>
      <c r="H1" s="358"/>
      <c r="I1" s="358"/>
      <c r="J1" s="358"/>
    </row>
    <row r="2" spans="1:12" x14ac:dyDescent="0.2">
      <c r="A2" s="244" t="s">
        <v>543</v>
      </c>
      <c r="B2" s="140"/>
      <c r="C2" s="244" t="s">
        <v>8</v>
      </c>
      <c r="D2" s="140"/>
      <c r="E2" s="140"/>
      <c r="F2" s="140"/>
      <c r="G2" s="140"/>
      <c r="H2" s="140"/>
      <c r="I2" s="140"/>
      <c r="J2" s="140"/>
    </row>
    <row r="3" spans="1:12" x14ac:dyDescent="0.2">
      <c r="A3" s="244" t="s">
        <v>530</v>
      </c>
      <c r="B3" s="140"/>
      <c r="C3" s="244" t="s">
        <v>8</v>
      </c>
      <c r="D3" s="140"/>
      <c r="E3" s="140"/>
      <c r="F3" s="140"/>
      <c r="G3" s="140"/>
      <c r="H3" s="140"/>
      <c r="I3" s="140"/>
      <c r="J3" s="140"/>
      <c r="L3" s="258" t="s">
        <v>554</v>
      </c>
    </row>
    <row r="4" spans="1:12" x14ac:dyDescent="0.2">
      <c r="A4" s="244" t="s">
        <v>531</v>
      </c>
      <c r="B4" s="140"/>
      <c r="C4" s="244" t="s">
        <v>8</v>
      </c>
      <c r="D4" s="140"/>
      <c r="E4" s="140"/>
      <c r="F4" s="140"/>
      <c r="G4" s="140"/>
      <c r="H4" s="140"/>
      <c r="I4" s="140"/>
      <c r="J4" s="140"/>
    </row>
    <row r="5" spans="1:12" x14ac:dyDescent="0.2">
      <c r="A5" s="244" t="s">
        <v>566</v>
      </c>
      <c r="B5" s="140"/>
      <c r="C5" s="140"/>
      <c r="D5" s="140"/>
      <c r="E5" s="140"/>
      <c r="F5" s="140"/>
      <c r="G5" s="140"/>
      <c r="H5" s="140"/>
      <c r="I5" s="140"/>
      <c r="J5" s="140"/>
    </row>
    <row r="6" spans="1:12" x14ac:dyDescent="0.2">
      <c r="A6" s="244" t="s">
        <v>532</v>
      </c>
      <c r="B6" s="140"/>
      <c r="C6" s="244" t="s">
        <v>8</v>
      </c>
      <c r="D6" s="140"/>
      <c r="E6" s="140"/>
      <c r="F6" s="140"/>
      <c r="G6" s="140"/>
      <c r="H6" s="140"/>
      <c r="I6" s="140"/>
      <c r="J6" s="140"/>
    </row>
    <row r="7" spans="1:12" x14ac:dyDescent="0.2">
      <c r="A7" s="140"/>
      <c r="B7" s="140"/>
      <c r="C7" s="140"/>
      <c r="D7" s="140"/>
      <c r="E7" s="140"/>
      <c r="F7" s="140"/>
      <c r="G7" s="140"/>
      <c r="H7" s="140"/>
      <c r="I7" s="140"/>
      <c r="J7" s="140"/>
    </row>
    <row r="8" spans="1:12" x14ac:dyDescent="0.2">
      <c r="A8" s="140"/>
      <c r="B8" s="140"/>
      <c r="C8" s="140"/>
      <c r="D8" s="140"/>
      <c r="E8" s="140"/>
      <c r="F8" s="140"/>
      <c r="G8" s="140"/>
      <c r="H8" s="140"/>
      <c r="I8" s="140"/>
      <c r="J8" s="140"/>
    </row>
    <row r="9" spans="1:12" x14ac:dyDescent="0.2">
      <c r="A9" s="357" t="s">
        <v>540</v>
      </c>
      <c r="B9" s="358"/>
      <c r="C9" s="358"/>
      <c r="D9" s="358"/>
      <c r="E9" s="358"/>
      <c r="F9" s="358"/>
      <c r="G9" s="358"/>
      <c r="H9" s="358"/>
      <c r="I9" s="358"/>
      <c r="J9" s="358"/>
    </row>
    <row r="10" spans="1:12" x14ac:dyDescent="0.2">
      <c r="A10" s="244" t="s">
        <v>541</v>
      </c>
      <c r="B10" s="140"/>
      <c r="C10" s="140"/>
      <c r="D10" s="140"/>
      <c r="E10" s="140"/>
      <c r="F10" s="140"/>
      <c r="G10" s="140"/>
      <c r="H10" s="140"/>
      <c r="I10" s="140"/>
      <c r="J10" s="140"/>
    </row>
    <row r="11" spans="1:12" x14ac:dyDescent="0.2">
      <c r="A11" s="140"/>
      <c r="B11" s="140"/>
      <c r="C11" s="140"/>
      <c r="D11" s="140"/>
      <c r="E11" s="140"/>
      <c r="F11" s="140"/>
      <c r="G11" s="140"/>
      <c r="H11" s="140"/>
      <c r="I11" s="140"/>
      <c r="J11" s="140"/>
    </row>
    <row r="12" spans="1:12" x14ac:dyDescent="0.2">
      <c r="A12" s="140"/>
      <c r="B12" s="140"/>
      <c r="C12" s="140"/>
      <c r="D12" s="140"/>
      <c r="E12" s="140"/>
      <c r="F12" s="140"/>
      <c r="G12" s="140"/>
      <c r="H12" s="140"/>
      <c r="I12" s="140"/>
      <c r="J12" s="140"/>
    </row>
    <row r="13" spans="1:12" x14ac:dyDescent="0.2">
      <c r="A13" s="357" t="s">
        <v>549</v>
      </c>
      <c r="B13" s="358"/>
      <c r="C13" s="358"/>
      <c r="D13" s="358"/>
      <c r="E13" s="358"/>
      <c r="F13" s="358"/>
      <c r="G13" s="358"/>
      <c r="H13" s="358"/>
      <c r="I13" s="358"/>
      <c r="J13" s="358"/>
    </row>
    <row r="14" spans="1:12" x14ac:dyDescent="0.2">
      <c r="A14" s="244" t="s">
        <v>550</v>
      </c>
      <c r="B14" s="140"/>
      <c r="C14" s="140"/>
      <c r="D14" s="140"/>
      <c r="E14" s="140"/>
      <c r="F14" s="140"/>
      <c r="G14" s="140"/>
      <c r="H14" s="140"/>
      <c r="I14" s="140"/>
      <c r="J14" s="140"/>
    </row>
    <row r="15" spans="1:12" x14ac:dyDescent="0.2">
      <c r="A15" s="244" t="s">
        <v>551</v>
      </c>
      <c r="B15" s="140"/>
      <c r="C15" s="140"/>
      <c r="D15" s="140"/>
      <c r="E15" s="140"/>
      <c r="F15" s="140"/>
      <c r="G15" s="140"/>
      <c r="H15" s="140"/>
      <c r="I15" s="140"/>
      <c r="J15" s="140"/>
    </row>
    <row r="16" spans="1:12" x14ac:dyDescent="0.2">
      <c r="A16" s="140"/>
      <c r="B16" s="140"/>
      <c r="C16" s="140"/>
      <c r="D16" s="140"/>
      <c r="E16" s="140"/>
      <c r="F16" s="140"/>
      <c r="G16" s="140"/>
      <c r="H16" s="140"/>
      <c r="I16" s="140"/>
      <c r="J16" s="140"/>
    </row>
    <row r="17" spans="1:20" x14ac:dyDescent="0.2">
      <c r="A17" s="140"/>
      <c r="B17" s="140"/>
      <c r="C17" s="140"/>
      <c r="D17" s="140"/>
      <c r="E17" s="140"/>
      <c r="F17" s="140"/>
      <c r="G17" s="140"/>
      <c r="H17" s="140"/>
      <c r="I17" s="140"/>
      <c r="J17" s="140"/>
    </row>
    <row r="18" spans="1:20" x14ac:dyDescent="0.2">
      <c r="A18" s="357" t="s">
        <v>544</v>
      </c>
      <c r="B18" s="358"/>
      <c r="C18" s="358"/>
      <c r="D18" s="358"/>
      <c r="E18" s="358"/>
      <c r="F18" s="358"/>
      <c r="G18" s="358"/>
      <c r="H18" s="358"/>
      <c r="I18" s="358"/>
      <c r="J18" s="358"/>
    </row>
    <row r="19" spans="1:20" x14ac:dyDescent="0.2">
      <c r="A19" s="359" t="s">
        <v>533</v>
      </c>
      <c r="B19" s="140"/>
      <c r="C19" s="140"/>
      <c r="D19" s="42">
        <f>'Kraan en situatie gegevens'!B20</f>
        <v>0.5</v>
      </c>
      <c r="E19" s="244" t="s">
        <v>546</v>
      </c>
      <c r="F19" s="140"/>
      <c r="G19" s="140"/>
      <c r="H19" s="140"/>
      <c r="I19" s="140"/>
      <c r="J19" s="140"/>
    </row>
    <row r="20" spans="1:20" x14ac:dyDescent="0.2">
      <c r="A20" s="359" t="s">
        <v>534</v>
      </c>
      <c r="B20" s="140"/>
      <c r="C20" s="140"/>
      <c r="D20" s="42">
        <f>'Kraan en situatie gegevens'!B19</f>
        <v>-1.5</v>
      </c>
      <c r="E20" s="244" t="s">
        <v>546</v>
      </c>
      <c r="F20" s="140"/>
      <c r="G20" s="140"/>
      <c r="H20" s="140"/>
      <c r="I20" s="140"/>
      <c r="J20" s="140"/>
      <c r="R20" s="248"/>
      <c r="S20" s="248"/>
      <c r="T20" s="248"/>
    </row>
    <row r="21" spans="1:20" x14ac:dyDescent="0.2">
      <c r="A21" s="359"/>
      <c r="B21" s="140"/>
      <c r="C21" s="140"/>
      <c r="D21" s="42"/>
      <c r="E21" s="244"/>
      <c r="F21" s="140"/>
      <c r="G21" s="140"/>
      <c r="H21" s="140"/>
      <c r="I21" s="140"/>
      <c r="J21" s="140"/>
      <c r="R21" s="248"/>
      <c r="S21" s="248"/>
      <c r="T21" s="248"/>
    </row>
    <row r="22" spans="1:20" x14ac:dyDescent="0.2">
      <c r="A22" s="359" t="s">
        <v>552</v>
      </c>
      <c r="B22" s="140"/>
      <c r="C22" s="140"/>
      <c r="D22" s="244" t="s">
        <v>553</v>
      </c>
      <c r="E22" s="244"/>
      <c r="F22" s="140"/>
      <c r="G22" s="140"/>
      <c r="H22" s="140"/>
      <c r="I22" s="140"/>
      <c r="J22" s="140"/>
      <c r="L22" s="258" t="s">
        <v>555</v>
      </c>
      <c r="R22" s="248"/>
      <c r="S22" s="387"/>
      <c r="T22" s="248"/>
    </row>
    <row r="23" spans="1:20" x14ac:dyDescent="0.2">
      <c r="A23" s="359"/>
      <c r="B23" s="140"/>
      <c r="C23" s="140"/>
      <c r="D23" s="360"/>
      <c r="E23" s="140"/>
      <c r="F23" s="140"/>
      <c r="G23" s="140"/>
      <c r="H23" s="140"/>
      <c r="I23" s="140"/>
      <c r="J23" s="140"/>
      <c r="R23" s="248"/>
      <c r="S23" s="248"/>
      <c r="T23" s="248"/>
    </row>
    <row r="24" spans="1:20" x14ac:dyDescent="0.2">
      <c r="A24" s="359" t="s">
        <v>545</v>
      </c>
      <c r="B24" s="140"/>
      <c r="C24" s="140"/>
      <c r="D24" s="42">
        <f>Grondeigenschappen!F2</f>
        <v>0.5</v>
      </c>
      <c r="E24" s="244" t="s">
        <v>568</v>
      </c>
      <c r="F24" s="140"/>
      <c r="G24" s="140"/>
      <c r="H24" s="140"/>
      <c r="I24" s="140"/>
      <c r="J24" s="140"/>
      <c r="R24" s="248"/>
      <c r="S24" s="248"/>
      <c r="T24" s="248"/>
    </row>
    <row r="25" spans="1:20" x14ac:dyDescent="0.2">
      <c r="A25" s="359" t="s">
        <v>547</v>
      </c>
      <c r="B25" s="140"/>
      <c r="C25" s="140"/>
      <c r="D25" s="42">
        <f>Grondeigenschappen!C3</f>
        <v>-1.5</v>
      </c>
      <c r="E25" s="244" t="s">
        <v>546</v>
      </c>
      <c r="F25" s="140"/>
      <c r="G25" s="140"/>
      <c r="H25" s="140"/>
      <c r="I25" s="140"/>
      <c r="J25" s="140"/>
    </row>
    <row r="26" spans="1:20" x14ac:dyDescent="0.2">
      <c r="A26" s="140"/>
      <c r="B26" s="140"/>
      <c r="C26" s="140"/>
      <c r="D26" s="52"/>
      <c r="E26" s="140"/>
      <c r="F26" s="140"/>
      <c r="G26" s="140"/>
      <c r="H26" s="140"/>
      <c r="I26" s="140"/>
      <c r="J26" s="140"/>
    </row>
    <row r="27" spans="1:20" x14ac:dyDescent="0.2">
      <c r="A27" s="140"/>
      <c r="B27" s="140"/>
      <c r="C27" s="140"/>
      <c r="D27" s="52"/>
      <c r="E27" s="140"/>
      <c r="F27" s="140"/>
      <c r="G27" s="140"/>
      <c r="H27" s="140"/>
      <c r="I27" s="140"/>
      <c r="J27" s="140"/>
    </row>
    <row r="28" spans="1:20" x14ac:dyDescent="0.2">
      <c r="A28" s="357" t="s">
        <v>535</v>
      </c>
      <c r="B28" s="358"/>
      <c r="C28" s="358"/>
      <c r="D28" s="361"/>
      <c r="E28" s="358"/>
      <c r="F28" s="358"/>
      <c r="G28" s="358"/>
      <c r="H28" s="358"/>
      <c r="I28" s="358"/>
      <c r="J28" s="358"/>
    </row>
    <row r="29" spans="1:20" x14ac:dyDescent="0.2">
      <c r="A29" s="244" t="s">
        <v>557</v>
      </c>
      <c r="B29" s="140"/>
      <c r="C29" s="140"/>
      <c r="D29" s="362" t="str">
        <f>'Kraan en situatie gegevens'!E1</f>
        <v>KH 300 PD 42m,      5:1 AO</v>
      </c>
      <c r="E29" s="140"/>
      <c r="F29" s="140"/>
      <c r="G29" s="140"/>
      <c r="H29" s="140"/>
      <c r="I29" s="140"/>
      <c r="J29" s="140"/>
    </row>
    <row r="30" spans="1:20" x14ac:dyDescent="0.2">
      <c r="A30" s="244" t="s">
        <v>559</v>
      </c>
      <c r="B30" s="140"/>
      <c r="C30" s="140"/>
      <c r="D30" s="362" t="s">
        <v>560</v>
      </c>
      <c r="E30" s="140"/>
      <c r="F30" s="140"/>
      <c r="G30" s="140"/>
      <c r="H30" s="140"/>
      <c r="I30" s="140"/>
      <c r="J30" s="140"/>
    </row>
    <row r="31" spans="1:20" x14ac:dyDescent="0.2">
      <c r="A31" s="244" t="s">
        <v>561</v>
      </c>
      <c r="B31" s="140"/>
      <c r="C31" s="140"/>
      <c r="D31" s="352">
        <f>Funderingsoppervlak!B2</f>
        <v>90</v>
      </c>
      <c r="E31" s="244" t="s">
        <v>193</v>
      </c>
      <c r="F31" s="140"/>
      <c r="G31" s="140"/>
      <c r="H31" s="140"/>
      <c r="I31" s="140"/>
      <c r="J31" s="140"/>
    </row>
    <row r="32" spans="1:20" ht="14.25" x14ac:dyDescent="0.2">
      <c r="A32" s="244" t="s">
        <v>558</v>
      </c>
      <c r="B32" s="140"/>
      <c r="C32" s="140"/>
      <c r="D32" s="363">
        <f>'Tabel C2 Samenvatting'!C16</f>
        <v>120.15052380430483</v>
      </c>
      <c r="E32" s="244" t="s">
        <v>455</v>
      </c>
      <c r="F32" s="140"/>
      <c r="G32" s="140"/>
      <c r="H32" s="140"/>
      <c r="I32" s="140"/>
      <c r="J32" s="140"/>
    </row>
    <row r="33" spans="1:10" x14ac:dyDescent="0.2">
      <c r="A33" s="140"/>
      <c r="B33" s="140"/>
      <c r="C33" s="140"/>
      <c r="D33" s="52"/>
      <c r="E33" s="140"/>
      <c r="F33" s="140"/>
      <c r="G33" s="140"/>
      <c r="H33" s="140"/>
      <c r="I33" s="140"/>
      <c r="J33" s="140"/>
    </row>
    <row r="34" spans="1:10" x14ac:dyDescent="0.2">
      <c r="A34" s="140"/>
      <c r="B34" s="140"/>
      <c r="C34" s="140"/>
      <c r="D34" s="52"/>
      <c r="E34" s="140"/>
      <c r="F34" s="140"/>
      <c r="G34" s="140"/>
      <c r="H34" s="140"/>
      <c r="I34" s="140"/>
      <c r="J34" s="140"/>
    </row>
    <row r="35" spans="1:10" x14ac:dyDescent="0.2">
      <c r="A35" s="357" t="s">
        <v>556</v>
      </c>
      <c r="B35" s="358"/>
      <c r="C35" s="358"/>
      <c r="D35" s="361"/>
      <c r="E35" s="358"/>
      <c r="F35" s="358"/>
      <c r="G35" s="358"/>
      <c r="H35" s="358"/>
      <c r="I35" s="358"/>
      <c r="J35" s="358"/>
    </row>
    <row r="36" spans="1:10" ht="14.25" x14ac:dyDescent="0.2">
      <c r="A36" s="244" t="s">
        <v>157</v>
      </c>
      <c r="B36" s="140"/>
      <c r="C36" s="140"/>
      <c r="D36" s="363">
        <f>Draagvermogen!F32</f>
        <v>112.35457505481779</v>
      </c>
      <c r="E36" s="244" t="s">
        <v>455</v>
      </c>
      <c r="F36" s="140" t="str">
        <f>IF(D36&gt;$D$32,"Voldoet","Voldoet niet")</f>
        <v>Voldoet niet</v>
      </c>
      <c r="G36" s="140"/>
      <c r="H36" s="140"/>
      <c r="I36" s="140"/>
      <c r="J36" s="140"/>
    </row>
    <row r="37" spans="1:10" ht="14.25" x14ac:dyDescent="0.2">
      <c r="A37" s="244" t="s">
        <v>154</v>
      </c>
      <c r="B37" s="140"/>
      <c r="C37" s="140"/>
      <c r="D37" s="363">
        <f>Draagvermogen!L18</f>
        <v>203.30063215074708</v>
      </c>
      <c r="E37" s="244" t="s">
        <v>455</v>
      </c>
      <c r="F37" s="140" t="str">
        <f>IF(D37&gt;$D$32,"Voldoet","Voldoet niet")</f>
        <v>Voldoet</v>
      </c>
      <c r="G37" s="140"/>
      <c r="H37" s="140"/>
      <c r="I37" s="140"/>
      <c r="J37" s="140"/>
    </row>
    <row r="38" spans="1:10" ht="14.25" x14ac:dyDescent="0.2">
      <c r="A38" s="244" t="s">
        <v>182</v>
      </c>
      <c r="B38" s="140"/>
      <c r="C38" s="140"/>
      <c r="D38" s="363">
        <f>Draagvermogen!S41</f>
        <v>176.60218325488043</v>
      </c>
      <c r="E38" s="244" t="s">
        <v>455</v>
      </c>
      <c r="F38" s="140" t="str">
        <f>IF(D38&gt;$D$32,"Voldoet","Voldoet niet")</f>
        <v>Voldoet</v>
      </c>
      <c r="G38" s="140"/>
      <c r="H38" s="140"/>
      <c r="I38" s="140"/>
      <c r="J38" s="140"/>
    </row>
    <row r="39" spans="1:10" x14ac:dyDescent="0.2">
      <c r="A39" s="140"/>
      <c r="B39" s="140"/>
      <c r="C39" s="140"/>
      <c r="D39" s="52"/>
      <c r="E39" s="140"/>
      <c r="F39" s="140"/>
      <c r="G39" s="140"/>
      <c r="H39" s="140"/>
      <c r="I39" s="140"/>
      <c r="J39" s="140"/>
    </row>
    <row r="40" spans="1:10" x14ac:dyDescent="0.2">
      <c r="A40" s="140"/>
      <c r="B40" s="140"/>
      <c r="C40" s="140"/>
      <c r="D40" s="52"/>
      <c r="E40" s="140"/>
      <c r="F40" s="140"/>
      <c r="G40" s="140"/>
      <c r="H40" s="140"/>
      <c r="I40" s="140"/>
      <c r="J40" s="140"/>
    </row>
    <row r="41" spans="1:10" x14ac:dyDescent="0.2">
      <c r="A41" s="357" t="s">
        <v>536</v>
      </c>
      <c r="B41" s="358"/>
      <c r="C41" s="358"/>
      <c r="D41" s="361"/>
      <c r="E41" s="358"/>
      <c r="F41" s="358"/>
      <c r="G41" s="358"/>
      <c r="H41" s="358"/>
      <c r="I41" s="358"/>
      <c r="J41" s="358"/>
    </row>
    <row r="42" spans="1:10" x14ac:dyDescent="0.2">
      <c r="A42" s="244" t="s">
        <v>537</v>
      </c>
      <c r="B42" s="140"/>
      <c r="C42" s="140"/>
      <c r="D42" s="364">
        <f>'Kraan en situatie gegevens'!D9</f>
        <v>1.25</v>
      </c>
      <c r="E42" s="244" t="s">
        <v>548</v>
      </c>
      <c r="F42" s="140"/>
      <c r="G42" s="140"/>
      <c r="H42" s="140"/>
      <c r="I42" s="140"/>
      <c r="J42" s="140"/>
    </row>
    <row r="43" spans="1:10" x14ac:dyDescent="0.2">
      <c r="A43" s="244" t="s">
        <v>538</v>
      </c>
      <c r="B43" s="140"/>
      <c r="C43" s="140"/>
      <c r="D43" s="364">
        <f>Draagvermogen!B11</f>
        <v>0</v>
      </c>
      <c r="E43" s="244" t="s">
        <v>539</v>
      </c>
      <c r="F43" s="140"/>
      <c r="G43" s="140"/>
      <c r="H43" s="140"/>
      <c r="I43" s="140"/>
      <c r="J43" s="140"/>
    </row>
    <row r="44" spans="1:10" x14ac:dyDescent="0.2">
      <c r="A44" s="140"/>
      <c r="B44" s="140"/>
      <c r="C44" s="140"/>
      <c r="D44" s="140"/>
      <c r="E44" s="140"/>
      <c r="F44" s="140"/>
      <c r="G44" s="140"/>
      <c r="H44" s="140"/>
      <c r="I44" s="140"/>
      <c r="J44" s="140"/>
    </row>
    <row r="45" spans="1:10" x14ac:dyDescent="0.2">
      <c r="A45" s="140"/>
      <c r="B45" s="140"/>
      <c r="C45" s="140"/>
      <c r="D45" s="140"/>
      <c r="E45" s="140"/>
      <c r="F45" s="140"/>
      <c r="G45" s="140"/>
      <c r="H45" s="140"/>
      <c r="I45" s="140"/>
      <c r="J45" s="140"/>
    </row>
    <row r="46" spans="1:10" x14ac:dyDescent="0.2">
      <c r="A46" s="357" t="s">
        <v>562</v>
      </c>
      <c r="B46" s="365"/>
      <c r="C46" s="365"/>
      <c r="D46" s="365"/>
      <c r="E46" s="365"/>
      <c r="F46" s="365"/>
      <c r="G46" s="365"/>
      <c r="H46" s="365"/>
      <c r="I46" s="365"/>
      <c r="J46" s="365"/>
    </row>
    <row r="47" spans="1:10" x14ac:dyDescent="0.2">
      <c r="A47" s="434" t="s">
        <v>563</v>
      </c>
      <c r="B47" s="434"/>
      <c r="C47" s="434"/>
      <c r="D47" s="434"/>
      <c r="E47" s="434"/>
      <c r="F47" s="434"/>
      <c r="G47" s="434"/>
      <c r="H47" s="434"/>
      <c r="I47" s="434"/>
      <c r="J47" s="434"/>
    </row>
    <row r="48" spans="1:10" x14ac:dyDescent="0.2">
      <c r="A48" s="434"/>
      <c r="B48" s="434"/>
      <c r="C48" s="434"/>
      <c r="D48" s="434"/>
      <c r="E48" s="434"/>
      <c r="F48" s="434"/>
      <c r="G48" s="434"/>
      <c r="H48" s="434"/>
      <c r="I48" s="434"/>
      <c r="J48" s="434"/>
    </row>
    <row r="49" spans="1:10" x14ac:dyDescent="0.2">
      <c r="A49" s="434"/>
      <c r="B49" s="434"/>
      <c r="C49" s="434"/>
      <c r="D49" s="434"/>
      <c r="E49" s="434"/>
      <c r="F49" s="434"/>
      <c r="G49" s="434"/>
      <c r="H49" s="434"/>
      <c r="I49" s="434"/>
      <c r="J49" s="434"/>
    </row>
    <row r="51" spans="1:10" x14ac:dyDescent="0.2">
      <c r="A51" s="258" t="s">
        <v>564</v>
      </c>
      <c r="F51" s="258" t="s">
        <v>567</v>
      </c>
    </row>
    <row r="52" spans="1:10" x14ac:dyDescent="0.2">
      <c r="A52" s="258" t="s">
        <v>565</v>
      </c>
    </row>
    <row r="53" spans="1:10" x14ac:dyDescent="0.2">
      <c r="A53" s="258" t="s">
        <v>566</v>
      </c>
    </row>
  </sheetData>
  <mergeCells count="1">
    <mergeCell ref="A47:J49"/>
  </mergeCells>
  <pageMargins left="0.70866141732283472" right="0.70866141732283472" top="1.3779527559055118" bottom="0.74803149606299213" header="0.31496062992125984" footer="0.31496062992125984"/>
  <pageSetup paperSize="9" orientation="portrait" r:id="rId1"/>
  <headerFooter>
    <oddHeader>&amp;C&amp;G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workbookViewId="0">
      <selection activeCell="A36" sqref="A36:XFD36"/>
    </sheetView>
  </sheetViews>
  <sheetFormatPr defaultRowHeight="12.75" x14ac:dyDescent="0.2"/>
  <cols>
    <col min="1" max="1" width="18.140625" bestFit="1" customWidth="1"/>
    <col min="2" max="2" width="10" bestFit="1" customWidth="1"/>
    <col min="3" max="3" width="20.85546875" bestFit="1" customWidth="1"/>
    <col min="4" max="5" width="24.7109375" bestFit="1" customWidth="1"/>
    <col min="6" max="6" width="24.28515625" bestFit="1" customWidth="1"/>
    <col min="7" max="8" width="25.140625" bestFit="1" customWidth="1"/>
    <col min="9" max="9" width="19.85546875" bestFit="1" customWidth="1"/>
    <col min="10" max="10" width="19.42578125" bestFit="1" customWidth="1"/>
    <col min="11" max="11" width="30" bestFit="1" customWidth="1"/>
    <col min="12" max="12" width="12.5703125" bestFit="1" customWidth="1"/>
    <col min="13" max="15" width="14.5703125" bestFit="1" customWidth="1"/>
    <col min="16" max="16" width="25.28515625" bestFit="1" customWidth="1"/>
    <col min="17" max="23" width="1.5703125" bestFit="1" customWidth="1"/>
    <col min="24" max="25" width="1.5703125" customWidth="1"/>
  </cols>
  <sheetData>
    <row r="1" spans="1:25" x14ac:dyDescent="0.2">
      <c r="A1" s="174" t="s">
        <v>289</v>
      </c>
      <c r="B1" t="s">
        <v>290</v>
      </c>
      <c r="C1" t="s">
        <v>382</v>
      </c>
      <c r="D1" t="s">
        <v>383</v>
      </c>
      <c r="E1" t="s">
        <v>384</v>
      </c>
      <c r="F1" s="174" t="s">
        <v>385</v>
      </c>
      <c r="G1" s="174" t="s">
        <v>386</v>
      </c>
      <c r="H1" s="174" t="s">
        <v>387</v>
      </c>
      <c r="I1" s="174" t="s">
        <v>388</v>
      </c>
      <c r="J1" s="174" t="s">
        <v>389</v>
      </c>
      <c r="K1" s="174" t="s">
        <v>390</v>
      </c>
      <c r="L1" s="174" t="s">
        <v>391</v>
      </c>
      <c r="M1" s="174" t="s">
        <v>392</v>
      </c>
      <c r="N1" s="174" t="s">
        <v>393</v>
      </c>
      <c r="O1" s="174" t="s">
        <v>394</v>
      </c>
      <c r="P1" s="174" t="s">
        <v>395</v>
      </c>
      <c r="Q1" s="174"/>
      <c r="R1" s="174"/>
      <c r="S1" s="174"/>
      <c r="T1" s="174"/>
      <c r="U1" s="174"/>
      <c r="V1" s="174"/>
      <c r="W1" s="174"/>
      <c r="X1" s="174"/>
      <c r="Y1" s="174"/>
    </row>
    <row r="2" spans="1:25" x14ac:dyDescent="0.2">
      <c r="A2" s="174" t="s">
        <v>1</v>
      </c>
      <c r="B2">
        <v>4800</v>
      </c>
      <c r="C2">
        <v>4000</v>
      </c>
      <c r="D2">
        <v>4000</v>
      </c>
      <c r="E2">
        <v>4000</v>
      </c>
      <c r="F2" s="174" t="s">
        <v>296</v>
      </c>
      <c r="G2" s="174" t="s">
        <v>296</v>
      </c>
      <c r="H2" s="174" t="s">
        <v>296</v>
      </c>
      <c r="I2" s="174" t="s">
        <v>297</v>
      </c>
      <c r="J2" s="174" t="s">
        <v>298</v>
      </c>
      <c r="K2" s="174"/>
      <c r="L2" s="174"/>
      <c r="M2" s="174"/>
      <c r="N2" s="174"/>
      <c r="O2" s="174"/>
      <c r="P2" s="174" t="s">
        <v>396</v>
      </c>
      <c r="Q2" s="174"/>
      <c r="R2" s="174"/>
      <c r="S2" s="174"/>
      <c r="T2" s="174"/>
      <c r="U2" s="174"/>
      <c r="V2" s="174"/>
      <c r="W2" s="174"/>
      <c r="X2" s="174"/>
      <c r="Y2" s="174"/>
    </row>
    <row r="3" spans="1:25" x14ac:dyDescent="0.2">
      <c r="A3" s="174" t="s">
        <v>3</v>
      </c>
      <c r="B3">
        <v>6600</v>
      </c>
      <c r="C3">
        <v>4250</v>
      </c>
      <c r="D3">
        <v>4250</v>
      </c>
      <c r="E3">
        <v>4250</v>
      </c>
      <c r="F3" s="174" t="s">
        <v>299</v>
      </c>
      <c r="G3" s="174" t="s">
        <v>299</v>
      </c>
      <c r="H3" s="174" t="s">
        <v>299</v>
      </c>
      <c r="I3" s="174" t="s">
        <v>296</v>
      </c>
      <c r="J3" s="174" t="s">
        <v>296</v>
      </c>
      <c r="K3" s="174"/>
      <c r="L3" s="174"/>
      <c r="M3" s="174"/>
      <c r="N3" s="174"/>
      <c r="O3" s="174"/>
      <c r="P3" s="174"/>
      <c r="Q3" s="174"/>
      <c r="R3" s="174"/>
      <c r="S3" s="174"/>
      <c r="T3" s="174"/>
      <c r="U3" s="174"/>
      <c r="V3" s="174"/>
      <c r="W3" s="174"/>
      <c r="X3" s="174"/>
      <c r="Y3" s="174"/>
    </row>
    <row r="4" spans="1:25" x14ac:dyDescent="0.2">
      <c r="A4" s="174" t="s">
        <v>354</v>
      </c>
      <c r="B4">
        <v>800</v>
      </c>
      <c r="C4">
        <v>900</v>
      </c>
      <c r="D4">
        <v>900</v>
      </c>
      <c r="E4">
        <v>900</v>
      </c>
      <c r="F4" s="174" t="s">
        <v>300</v>
      </c>
      <c r="G4" s="174" t="s">
        <v>300</v>
      </c>
      <c r="H4" s="174" t="s">
        <v>300</v>
      </c>
      <c r="I4" s="174" t="s">
        <v>301</v>
      </c>
      <c r="J4" s="174" t="s">
        <v>302</v>
      </c>
      <c r="K4" s="174"/>
      <c r="L4" s="174"/>
      <c r="M4" s="174"/>
      <c r="N4" s="174"/>
      <c r="O4" s="174"/>
      <c r="P4" s="174"/>
      <c r="Q4" s="174"/>
      <c r="R4" s="174"/>
      <c r="S4" s="174"/>
      <c r="T4" s="174"/>
      <c r="U4" s="174"/>
      <c r="V4" s="174"/>
      <c r="W4" s="174"/>
      <c r="X4" s="174"/>
      <c r="Y4" s="174"/>
    </row>
    <row r="5" spans="1:25" x14ac:dyDescent="0.2">
      <c r="A5" s="174" t="s">
        <v>355</v>
      </c>
      <c r="B5">
        <v>720</v>
      </c>
      <c r="C5">
        <v>711</v>
      </c>
      <c r="D5">
        <v>711</v>
      </c>
      <c r="E5">
        <v>711</v>
      </c>
      <c r="F5" s="174" t="s">
        <v>303</v>
      </c>
      <c r="G5" s="174" t="s">
        <v>303</v>
      </c>
      <c r="H5" s="174" t="s">
        <v>303</v>
      </c>
      <c r="I5" s="174" t="s">
        <v>304</v>
      </c>
      <c r="J5" s="174" t="s">
        <v>305</v>
      </c>
      <c r="K5" s="174" t="s">
        <v>397</v>
      </c>
      <c r="L5" s="174"/>
      <c r="M5" s="174"/>
      <c r="N5" s="174"/>
      <c r="O5" s="174"/>
      <c r="P5" s="174" t="s">
        <v>303</v>
      </c>
      <c r="Q5" s="174"/>
      <c r="R5" s="174"/>
      <c r="S5" s="174"/>
      <c r="T5" s="174"/>
      <c r="U5" s="174"/>
      <c r="V5" s="174"/>
      <c r="W5" s="174"/>
      <c r="X5" s="174"/>
      <c r="Y5" s="174"/>
    </row>
    <row r="6" spans="1:25" x14ac:dyDescent="0.2">
      <c r="A6" s="174" t="s">
        <v>356</v>
      </c>
      <c r="B6" t="s">
        <v>294</v>
      </c>
      <c r="C6">
        <v>4.41</v>
      </c>
      <c r="D6">
        <v>4.41</v>
      </c>
      <c r="E6">
        <v>4.41</v>
      </c>
      <c r="F6" s="174" t="s">
        <v>306</v>
      </c>
      <c r="G6" s="174" t="s">
        <v>306</v>
      </c>
      <c r="H6" s="174" t="s">
        <v>306</v>
      </c>
      <c r="I6" s="174" t="s">
        <v>307</v>
      </c>
      <c r="J6" s="174" t="s">
        <v>308</v>
      </c>
      <c r="K6" s="174" t="s">
        <v>398</v>
      </c>
      <c r="L6" s="174"/>
      <c r="M6" s="174"/>
      <c r="N6" s="174"/>
      <c r="O6" s="174"/>
      <c r="P6" s="174"/>
      <c r="Q6" s="174"/>
      <c r="R6" s="174"/>
      <c r="S6" s="174"/>
      <c r="T6" s="174"/>
      <c r="U6" s="174"/>
      <c r="V6" s="174"/>
      <c r="W6" s="174"/>
      <c r="X6" s="174"/>
      <c r="Y6" s="174"/>
    </row>
    <row r="7" spans="1:25" x14ac:dyDescent="0.2">
      <c r="A7" s="174" t="s">
        <v>357</v>
      </c>
      <c r="B7" t="s">
        <v>294</v>
      </c>
      <c r="C7">
        <v>1.63</v>
      </c>
      <c r="D7">
        <v>1.63</v>
      </c>
      <c r="E7">
        <v>1.63</v>
      </c>
      <c r="F7" s="174" t="s">
        <v>309</v>
      </c>
      <c r="G7" s="174" t="s">
        <v>309</v>
      </c>
      <c r="H7" s="174" t="s">
        <v>309</v>
      </c>
      <c r="I7" s="174" t="s">
        <v>310</v>
      </c>
      <c r="J7" s="174" t="s">
        <v>311</v>
      </c>
      <c r="K7" s="174" t="s">
        <v>399</v>
      </c>
      <c r="L7" s="174"/>
      <c r="M7" s="174"/>
      <c r="N7" s="174"/>
      <c r="O7" s="174"/>
      <c r="P7" s="174"/>
      <c r="Q7" s="174"/>
      <c r="R7" s="174"/>
      <c r="S7" s="174"/>
      <c r="T7" s="174"/>
      <c r="U7" s="174"/>
      <c r="V7" s="174"/>
      <c r="W7" s="174"/>
      <c r="X7" s="174"/>
      <c r="Y7" s="174"/>
    </row>
    <row r="8" spans="1:25" x14ac:dyDescent="0.2">
      <c r="A8" s="174" t="s">
        <v>358</v>
      </c>
      <c r="F8" s="174" t="s">
        <v>312</v>
      </c>
      <c r="G8" s="174" t="s">
        <v>312</v>
      </c>
      <c r="H8" s="174" t="s">
        <v>312</v>
      </c>
      <c r="I8" s="174" t="s">
        <v>313</v>
      </c>
      <c r="J8" s="174" t="s">
        <v>314</v>
      </c>
      <c r="K8" s="174"/>
      <c r="L8" s="174"/>
      <c r="M8" s="174"/>
      <c r="N8" s="174"/>
      <c r="O8" s="174"/>
      <c r="P8" s="174"/>
      <c r="Q8" s="174"/>
      <c r="R8" s="174"/>
      <c r="S8" s="174"/>
      <c r="T8" s="174"/>
      <c r="U8" s="174"/>
      <c r="V8" s="174"/>
      <c r="W8" s="174"/>
      <c r="X8" s="174"/>
      <c r="Y8" s="174"/>
    </row>
    <row r="9" spans="1:25" x14ac:dyDescent="0.2">
      <c r="A9" s="174" t="s">
        <v>359</v>
      </c>
      <c r="F9" s="174" t="s">
        <v>315</v>
      </c>
      <c r="G9" s="174" t="s">
        <v>315</v>
      </c>
      <c r="H9" s="174" t="s">
        <v>315</v>
      </c>
      <c r="I9" s="174" t="s">
        <v>316</v>
      </c>
      <c r="J9" s="174" t="s">
        <v>317</v>
      </c>
      <c r="K9" s="174"/>
      <c r="L9" s="174"/>
      <c r="M9" s="174"/>
      <c r="N9" s="174"/>
      <c r="O9" s="174"/>
      <c r="P9" s="174"/>
      <c r="Q9" s="174"/>
      <c r="R9" s="174"/>
      <c r="S9" s="174"/>
      <c r="T9" s="174"/>
      <c r="U9" s="174"/>
      <c r="V9" s="174"/>
      <c r="W9" s="174"/>
      <c r="X9" s="174"/>
      <c r="Y9" s="174"/>
    </row>
    <row r="10" spans="1:25" x14ac:dyDescent="0.2">
      <c r="A10" s="174"/>
      <c r="F10" s="174"/>
      <c r="G10" s="174"/>
      <c r="H10" s="174"/>
      <c r="I10" s="174"/>
      <c r="J10" s="174"/>
      <c r="K10" s="174"/>
      <c r="L10" s="174"/>
      <c r="M10" s="174"/>
      <c r="N10" s="174"/>
      <c r="O10" s="174"/>
      <c r="P10" s="174"/>
      <c r="Q10" s="174"/>
      <c r="R10" s="174"/>
      <c r="S10" s="174"/>
      <c r="T10" s="174"/>
      <c r="U10" s="174"/>
      <c r="V10" s="174"/>
      <c r="W10" s="174"/>
      <c r="X10" s="174"/>
      <c r="Y10" s="174"/>
    </row>
    <row r="11" spans="1:25" x14ac:dyDescent="0.2">
      <c r="A11" s="174" t="s">
        <v>7</v>
      </c>
      <c r="B11">
        <v>225</v>
      </c>
      <c r="C11" s="233">
        <v>0</v>
      </c>
      <c r="D11" s="233">
        <v>0</v>
      </c>
      <c r="E11" s="233">
        <v>0</v>
      </c>
      <c r="F11" s="174" t="s">
        <v>400</v>
      </c>
      <c r="G11" s="174" t="s">
        <v>400</v>
      </c>
      <c r="H11" s="174" t="s">
        <v>400</v>
      </c>
      <c r="I11" s="174" t="s">
        <v>360</v>
      </c>
      <c r="J11" s="174" t="s">
        <v>361</v>
      </c>
      <c r="K11" s="174" t="s">
        <v>401</v>
      </c>
      <c r="L11" s="174"/>
      <c r="M11" s="174"/>
      <c r="N11" s="174"/>
      <c r="O11" s="174"/>
      <c r="P11" s="174"/>
      <c r="Q11" s="174"/>
      <c r="R11" s="174"/>
      <c r="S11" s="174"/>
      <c r="T11" s="174"/>
      <c r="U11" s="174"/>
      <c r="V11" s="174"/>
      <c r="W11" s="174"/>
      <c r="X11" s="174"/>
      <c r="Y11" s="174"/>
    </row>
    <row r="12" spans="1:25" x14ac:dyDescent="0.2">
      <c r="A12" s="174" t="s">
        <v>291</v>
      </c>
      <c r="B12" t="s">
        <v>8</v>
      </c>
      <c r="C12" t="s">
        <v>8</v>
      </c>
      <c r="D12" t="s">
        <v>8</v>
      </c>
      <c r="E12" t="s">
        <v>8</v>
      </c>
      <c r="F12" s="174" t="s">
        <v>8</v>
      </c>
      <c r="G12" s="174" t="s">
        <v>8</v>
      </c>
      <c r="H12" s="174" t="s">
        <v>8</v>
      </c>
      <c r="I12" s="174" t="s">
        <v>8</v>
      </c>
      <c r="J12" s="174" t="s">
        <v>8</v>
      </c>
      <c r="K12" s="174" t="s">
        <v>8</v>
      </c>
      <c r="L12" s="174" t="s">
        <v>8</v>
      </c>
      <c r="M12" s="174" t="s">
        <v>8</v>
      </c>
      <c r="N12" s="174" t="s">
        <v>8</v>
      </c>
      <c r="O12" s="174" t="s">
        <v>8</v>
      </c>
      <c r="P12" s="174" t="s">
        <v>8</v>
      </c>
      <c r="Q12" s="174" t="s">
        <v>8</v>
      </c>
      <c r="R12" s="174" t="s">
        <v>8</v>
      </c>
      <c r="S12" s="174" t="s">
        <v>8</v>
      </c>
      <c r="T12" s="174" t="s">
        <v>8</v>
      </c>
      <c r="U12" s="174" t="s">
        <v>8</v>
      </c>
      <c r="V12" s="174" t="s">
        <v>8</v>
      </c>
      <c r="W12" s="174" t="s">
        <v>8</v>
      </c>
      <c r="X12" s="174" t="s">
        <v>8</v>
      </c>
      <c r="Y12" s="174" t="s">
        <v>8</v>
      </c>
    </row>
    <row r="13" spans="1:25" x14ac:dyDescent="0.2">
      <c r="A13" s="174" t="s">
        <v>292</v>
      </c>
      <c r="B13" t="s">
        <v>8</v>
      </c>
      <c r="C13" t="s">
        <v>8</v>
      </c>
      <c r="D13" t="s">
        <v>8</v>
      </c>
      <c r="E13" t="s">
        <v>8</v>
      </c>
      <c r="F13" s="174" t="s">
        <v>8</v>
      </c>
      <c r="G13" s="174" t="s">
        <v>8</v>
      </c>
      <c r="H13" s="174" t="s">
        <v>8</v>
      </c>
      <c r="I13" s="174" t="s">
        <v>8</v>
      </c>
      <c r="J13" s="174" t="s">
        <v>8</v>
      </c>
      <c r="K13" s="174" t="s">
        <v>8</v>
      </c>
      <c r="L13" s="174" t="s">
        <v>8</v>
      </c>
      <c r="M13" s="174" t="s">
        <v>8</v>
      </c>
      <c r="N13" s="174" t="s">
        <v>8</v>
      </c>
      <c r="O13" s="174" t="s">
        <v>8</v>
      </c>
      <c r="P13" s="174" t="s">
        <v>8</v>
      </c>
      <c r="Q13" s="174" t="s">
        <v>8</v>
      </c>
      <c r="R13" s="174" t="s">
        <v>8</v>
      </c>
      <c r="S13" s="174" t="s">
        <v>8</v>
      </c>
      <c r="T13" s="174" t="s">
        <v>8</v>
      </c>
      <c r="U13" s="174" t="s">
        <v>8</v>
      </c>
      <c r="V13" s="174" t="s">
        <v>8</v>
      </c>
      <c r="W13" s="174" t="s">
        <v>8</v>
      </c>
      <c r="X13" s="174" t="s">
        <v>8</v>
      </c>
      <c r="Y13" s="174" t="s">
        <v>8</v>
      </c>
    </row>
    <row r="14" spans="1:25" x14ac:dyDescent="0.2">
      <c r="A14" s="174" t="s">
        <v>202</v>
      </c>
      <c r="B14">
        <v>5</v>
      </c>
      <c r="C14">
        <v>5</v>
      </c>
      <c r="D14">
        <v>5</v>
      </c>
      <c r="E14">
        <v>5</v>
      </c>
      <c r="F14" s="174" t="s">
        <v>318</v>
      </c>
      <c r="G14" s="174" t="s">
        <v>318</v>
      </c>
      <c r="H14" s="174" t="s">
        <v>318</v>
      </c>
      <c r="I14" s="174" t="s">
        <v>362</v>
      </c>
      <c r="J14" s="174" t="s">
        <v>319</v>
      </c>
      <c r="K14" s="174" t="s">
        <v>402</v>
      </c>
      <c r="L14" s="174"/>
      <c r="M14" s="174"/>
      <c r="N14" s="174"/>
      <c r="O14" s="174"/>
      <c r="P14" s="174"/>
      <c r="Q14" s="174"/>
      <c r="R14" s="174"/>
      <c r="S14" s="174"/>
      <c r="T14" s="174"/>
      <c r="U14" s="174"/>
      <c r="V14" s="174"/>
      <c r="W14" s="174"/>
      <c r="X14" s="174"/>
      <c r="Y14" s="174"/>
    </row>
    <row r="15" spans="1:25" x14ac:dyDescent="0.2">
      <c r="A15" s="174" t="s">
        <v>203</v>
      </c>
      <c r="B15">
        <v>7.2</v>
      </c>
      <c r="C15">
        <v>7.5</v>
      </c>
      <c r="D15">
        <v>7.5</v>
      </c>
      <c r="E15">
        <v>7.5</v>
      </c>
      <c r="F15" s="174" t="s">
        <v>320</v>
      </c>
      <c r="G15" s="174" t="s">
        <v>320</v>
      </c>
      <c r="H15" s="174" t="s">
        <v>320</v>
      </c>
      <c r="I15" s="174" t="s">
        <v>321</v>
      </c>
      <c r="J15" s="174" t="s">
        <v>322</v>
      </c>
      <c r="K15" s="174" t="s">
        <v>403</v>
      </c>
      <c r="L15" s="174"/>
      <c r="M15" s="174"/>
      <c r="N15" s="174"/>
      <c r="O15" s="174"/>
      <c r="P15" s="174"/>
      <c r="Q15" s="174"/>
      <c r="R15" s="174"/>
      <c r="S15" s="174"/>
      <c r="T15" s="174"/>
      <c r="U15" s="174"/>
      <c r="V15" s="174"/>
      <c r="W15" s="174"/>
      <c r="X15" s="174"/>
      <c r="Y15" s="174"/>
    </row>
    <row r="16" spans="1:25" x14ac:dyDescent="0.2">
      <c r="A16" s="174" t="s">
        <v>9</v>
      </c>
      <c r="B16">
        <v>495</v>
      </c>
      <c r="C16" s="233">
        <v>711</v>
      </c>
      <c r="D16" s="233">
        <v>711</v>
      </c>
      <c r="E16" s="233">
        <v>711</v>
      </c>
      <c r="F16" s="174" t="s">
        <v>363</v>
      </c>
      <c r="G16" s="174" t="s">
        <v>363</v>
      </c>
      <c r="H16" s="174" t="s">
        <v>363</v>
      </c>
      <c r="I16" s="174" t="s">
        <v>364</v>
      </c>
      <c r="J16" s="174" t="s">
        <v>365</v>
      </c>
      <c r="K16" s="174" t="s">
        <v>404</v>
      </c>
      <c r="L16" s="174"/>
      <c r="M16" s="174"/>
      <c r="N16" s="174"/>
      <c r="O16" s="174"/>
      <c r="P16" s="174"/>
      <c r="Q16" s="174"/>
      <c r="R16" s="174"/>
      <c r="S16" s="174"/>
      <c r="T16" s="174"/>
      <c r="U16" s="174"/>
      <c r="V16" s="174"/>
      <c r="W16" s="174"/>
      <c r="X16" s="174"/>
      <c r="Y16" s="174"/>
    </row>
    <row r="17" spans="1:25" x14ac:dyDescent="0.2">
      <c r="A17" s="174" t="s">
        <v>291</v>
      </c>
      <c r="B17">
        <v>-4</v>
      </c>
      <c r="C17">
        <v>-3.61</v>
      </c>
      <c r="D17">
        <v>-3.61</v>
      </c>
      <c r="E17">
        <v>-3.61</v>
      </c>
      <c r="F17" s="174" t="s">
        <v>405</v>
      </c>
      <c r="G17" s="174" t="s">
        <v>405</v>
      </c>
      <c r="H17" s="174" t="s">
        <v>405</v>
      </c>
      <c r="I17" s="174" t="s">
        <v>366</v>
      </c>
      <c r="J17" s="174" t="s">
        <v>367</v>
      </c>
      <c r="K17" s="174" t="s">
        <v>406</v>
      </c>
      <c r="L17" s="174"/>
      <c r="M17" s="174"/>
      <c r="N17" s="174"/>
      <c r="O17" s="174"/>
      <c r="P17" s="174"/>
      <c r="Q17" s="174"/>
      <c r="R17" s="174"/>
      <c r="S17" s="174"/>
      <c r="T17" s="174"/>
      <c r="U17" s="174"/>
      <c r="V17" s="174"/>
      <c r="W17" s="174"/>
      <c r="X17" s="174"/>
      <c r="Y17" s="174"/>
    </row>
    <row r="18" spans="1:25" x14ac:dyDescent="0.2">
      <c r="A18" s="174" t="s">
        <v>292</v>
      </c>
      <c r="B18">
        <v>3</v>
      </c>
      <c r="C18">
        <v>1.6299999999999997</v>
      </c>
      <c r="D18">
        <v>1.6299999999999997</v>
      </c>
      <c r="E18">
        <v>1.6299999999999997</v>
      </c>
      <c r="F18" s="174" t="s">
        <v>407</v>
      </c>
      <c r="G18" s="174" t="s">
        <v>407</v>
      </c>
      <c r="H18" s="174" t="s">
        <v>407</v>
      </c>
      <c r="I18" s="174" t="s">
        <v>368</v>
      </c>
      <c r="J18" s="174" t="s">
        <v>368</v>
      </c>
      <c r="K18" s="174" t="s">
        <v>408</v>
      </c>
      <c r="L18" s="174"/>
      <c r="M18" s="174"/>
      <c r="N18" s="174"/>
      <c r="O18" s="174"/>
      <c r="P18" s="174"/>
      <c r="Q18" s="174"/>
      <c r="R18" s="174"/>
      <c r="S18" s="174"/>
      <c r="T18" s="174"/>
      <c r="U18" s="174"/>
      <c r="V18" s="174"/>
      <c r="W18" s="174"/>
      <c r="X18" s="174"/>
      <c r="Y18" s="174"/>
    </row>
    <row r="19" spans="1:25" x14ac:dyDescent="0.2">
      <c r="A19" s="174" t="s">
        <v>202</v>
      </c>
      <c r="B19" t="s">
        <v>8</v>
      </c>
      <c r="C19" t="s">
        <v>8</v>
      </c>
      <c r="D19" t="s">
        <v>8</v>
      </c>
      <c r="E19" t="s">
        <v>8</v>
      </c>
      <c r="F19" s="174" t="s">
        <v>323</v>
      </c>
      <c r="G19" s="174" t="s">
        <v>323</v>
      </c>
      <c r="H19" s="174" t="s">
        <v>323</v>
      </c>
      <c r="I19" s="174" t="s">
        <v>322</v>
      </c>
      <c r="J19" s="174" t="s">
        <v>324</v>
      </c>
      <c r="K19" s="174"/>
      <c r="L19" s="174" t="s">
        <v>8</v>
      </c>
      <c r="M19" s="174" t="s">
        <v>8</v>
      </c>
      <c r="N19" s="174" t="s">
        <v>8</v>
      </c>
      <c r="O19" s="174" t="s">
        <v>8</v>
      </c>
      <c r="P19" s="174" t="s">
        <v>8</v>
      </c>
      <c r="Q19" s="174" t="s">
        <v>8</v>
      </c>
      <c r="R19" s="174" t="s">
        <v>8</v>
      </c>
      <c r="S19" s="174" t="s">
        <v>8</v>
      </c>
      <c r="T19" s="174" t="s">
        <v>8</v>
      </c>
      <c r="U19" s="174" t="s">
        <v>8</v>
      </c>
      <c r="V19" s="174" t="s">
        <v>8</v>
      </c>
      <c r="W19" s="174" t="s">
        <v>8</v>
      </c>
      <c r="X19" s="174" t="s">
        <v>8</v>
      </c>
      <c r="Y19" s="174" t="s">
        <v>8</v>
      </c>
    </row>
    <row r="20" spans="1:25" x14ac:dyDescent="0.2">
      <c r="A20" s="174" t="s">
        <v>203</v>
      </c>
      <c r="B20">
        <v>7.5</v>
      </c>
      <c r="C20">
        <v>12.3</v>
      </c>
      <c r="D20">
        <v>12.3</v>
      </c>
      <c r="E20">
        <v>12.3</v>
      </c>
      <c r="F20" s="174" t="s">
        <v>325</v>
      </c>
      <c r="G20" s="174" t="s">
        <v>325</v>
      </c>
      <c r="H20" s="174" t="s">
        <v>325</v>
      </c>
      <c r="I20" s="174" t="s">
        <v>326</v>
      </c>
      <c r="J20" s="174" t="s">
        <v>327</v>
      </c>
      <c r="K20" s="174" t="s">
        <v>409</v>
      </c>
      <c r="L20" s="174"/>
      <c r="M20" s="174"/>
      <c r="N20" s="174"/>
      <c r="O20" s="174"/>
      <c r="P20" s="174"/>
      <c r="Q20" s="174"/>
      <c r="R20" s="174"/>
      <c r="S20" s="174"/>
      <c r="T20" s="174"/>
      <c r="U20" s="174"/>
      <c r="V20" s="174"/>
      <c r="W20" s="174"/>
      <c r="X20" s="174"/>
      <c r="Y20" s="174"/>
    </row>
    <row r="21" spans="1:25" x14ac:dyDescent="0.2">
      <c r="A21" s="174" t="s">
        <v>10</v>
      </c>
      <c r="B21">
        <v>64</v>
      </c>
      <c r="C21">
        <v>91.5</v>
      </c>
      <c r="D21">
        <v>91.5</v>
      </c>
      <c r="E21">
        <v>91.5</v>
      </c>
      <c r="F21" s="174" t="s">
        <v>328</v>
      </c>
      <c r="G21" s="174" t="s">
        <v>328</v>
      </c>
      <c r="H21" s="174" t="s">
        <v>328</v>
      </c>
      <c r="I21" s="174" t="s">
        <v>328</v>
      </c>
      <c r="J21" s="174" t="s">
        <v>328</v>
      </c>
      <c r="K21" s="174" t="s">
        <v>328</v>
      </c>
      <c r="L21" s="174"/>
      <c r="M21" s="174"/>
      <c r="N21" s="174"/>
      <c r="O21" s="174"/>
      <c r="P21" s="174"/>
      <c r="Q21" s="174"/>
      <c r="R21" s="174"/>
      <c r="S21" s="174"/>
      <c r="T21" s="174"/>
      <c r="U21" s="174"/>
      <c r="V21" s="174"/>
      <c r="W21" s="174"/>
      <c r="X21" s="174"/>
      <c r="Y21" s="174"/>
    </row>
    <row r="22" spans="1:25" x14ac:dyDescent="0.2">
      <c r="A22" s="174" t="s">
        <v>291</v>
      </c>
      <c r="B22">
        <v>-5.2</v>
      </c>
      <c r="C22">
        <v>-7.5</v>
      </c>
      <c r="D22">
        <v>-7.5</v>
      </c>
      <c r="E22">
        <v>-7.5</v>
      </c>
      <c r="F22" s="174" t="s">
        <v>328</v>
      </c>
      <c r="G22" s="174" t="s">
        <v>328</v>
      </c>
      <c r="H22" s="174" t="s">
        <v>328</v>
      </c>
      <c r="I22" s="174" t="s">
        <v>328</v>
      </c>
      <c r="J22" s="174" t="s">
        <v>328</v>
      </c>
      <c r="K22" s="174" t="s">
        <v>328</v>
      </c>
      <c r="L22" s="174"/>
      <c r="M22" s="174"/>
      <c r="N22" s="174"/>
      <c r="O22" s="174"/>
      <c r="P22" s="174"/>
      <c r="Q22" s="174"/>
      <c r="R22" s="174"/>
      <c r="S22" s="174"/>
      <c r="T22" s="174"/>
      <c r="U22" s="174"/>
      <c r="V22" s="174"/>
      <c r="W22" s="174"/>
      <c r="X22" s="174"/>
      <c r="Y22" s="174"/>
    </row>
    <row r="23" spans="1:25" x14ac:dyDescent="0.2">
      <c r="A23" s="174" t="s">
        <v>292</v>
      </c>
      <c r="B23">
        <v>3.5</v>
      </c>
      <c r="C23">
        <v>4.2</v>
      </c>
      <c r="D23">
        <v>4.2</v>
      </c>
      <c r="E23">
        <v>4.2</v>
      </c>
      <c r="F23" s="174" t="s">
        <v>328</v>
      </c>
      <c r="G23" s="174" t="s">
        <v>328</v>
      </c>
      <c r="H23" s="174" t="s">
        <v>328</v>
      </c>
      <c r="I23" s="174" t="s">
        <v>328</v>
      </c>
      <c r="J23" s="174" t="s">
        <v>328</v>
      </c>
      <c r="K23" s="174" t="s">
        <v>328</v>
      </c>
      <c r="L23" s="174"/>
      <c r="M23" s="174"/>
      <c r="N23" s="174"/>
      <c r="O23" s="174"/>
      <c r="P23" s="174"/>
      <c r="Q23" s="174"/>
      <c r="R23" s="174"/>
      <c r="S23" s="174"/>
      <c r="T23" s="174"/>
      <c r="U23" s="174"/>
      <c r="V23" s="174"/>
      <c r="W23" s="174"/>
      <c r="X23" s="174"/>
      <c r="Y23" s="174"/>
    </row>
    <row r="24" spans="1:25" x14ac:dyDescent="0.2">
      <c r="A24" s="174" t="s">
        <v>202</v>
      </c>
      <c r="B24">
        <v>14</v>
      </c>
      <c r="C24">
        <v>12.6</v>
      </c>
      <c r="D24">
        <v>12.6</v>
      </c>
      <c r="E24">
        <v>12.6</v>
      </c>
      <c r="F24" s="174" t="s">
        <v>328</v>
      </c>
      <c r="G24" s="174" t="s">
        <v>328</v>
      </c>
      <c r="H24" s="174" t="s">
        <v>328</v>
      </c>
      <c r="I24" s="174" t="s">
        <v>328</v>
      </c>
      <c r="J24" s="174" t="s">
        <v>328</v>
      </c>
      <c r="K24" s="174" t="s">
        <v>328</v>
      </c>
      <c r="L24" s="174"/>
      <c r="M24" s="174"/>
      <c r="N24" s="174"/>
      <c r="O24" s="174"/>
      <c r="P24" s="174"/>
      <c r="Q24" s="174"/>
      <c r="R24" s="174"/>
      <c r="S24" s="174"/>
      <c r="T24" s="174"/>
      <c r="U24" s="174"/>
      <c r="V24" s="174"/>
      <c r="W24" s="174"/>
      <c r="X24" s="174"/>
      <c r="Y24" s="174"/>
    </row>
    <row r="25" spans="1:25" x14ac:dyDescent="0.2">
      <c r="A25" s="174" t="s">
        <v>203</v>
      </c>
      <c r="B25">
        <v>7.5</v>
      </c>
      <c r="C25">
        <v>2.4</v>
      </c>
      <c r="D25">
        <v>2.4</v>
      </c>
      <c r="E25">
        <v>2.4</v>
      </c>
      <c r="F25" s="174" t="s">
        <v>328</v>
      </c>
      <c r="G25" s="174" t="s">
        <v>328</v>
      </c>
      <c r="H25" s="174" t="s">
        <v>328</v>
      </c>
      <c r="I25" s="174" t="s">
        <v>328</v>
      </c>
      <c r="J25" s="174" t="s">
        <v>328</v>
      </c>
      <c r="K25" s="174" t="s">
        <v>328</v>
      </c>
      <c r="L25" s="174"/>
      <c r="M25" s="174"/>
      <c r="N25" s="174"/>
      <c r="O25" s="174"/>
      <c r="P25" s="174"/>
      <c r="Q25" s="174"/>
      <c r="R25" s="174"/>
      <c r="S25" s="174"/>
      <c r="T25" s="174"/>
      <c r="U25" s="174"/>
      <c r="V25" s="174"/>
      <c r="W25" s="174"/>
      <c r="X25" s="174"/>
      <c r="Y25" s="174"/>
    </row>
    <row r="26" spans="1:25" x14ac:dyDescent="0.2">
      <c r="A26" s="174" t="s">
        <v>410</v>
      </c>
      <c r="B26">
        <v>33</v>
      </c>
      <c r="C26">
        <v>57</v>
      </c>
      <c r="D26">
        <v>57</v>
      </c>
      <c r="E26">
        <v>57</v>
      </c>
      <c r="F26" s="174" t="s">
        <v>329</v>
      </c>
      <c r="G26" s="174" t="s">
        <v>329</v>
      </c>
      <c r="H26" s="174" t="s">
        <v>329</v>
      </c>
      <c r="I26" s="174" t="s">
        <v>328</v>
      </c>
      <c r="J26" s="174" t="s">
        <v>330</v>
      </c>
      <c r="K26" s="174" t="s">
        <v>411</v>
      </c>
      <c r="L26" s="174" t="s">
        <v>412</v>
      </c>
      <c r="M26" s="174"/>
      <c r="N26" s="174"/>
      <c r="O26" s="174"/>
      <c r="P26" s="174"/>
      <c r="Q26" s="174"/>
      <c r="R26" s="174"/>
      <c r="S26" s="174"/>
      <c r="T26" s="174"/>
      <c r="U26" s="174"/>
      <c r="V26" s="174"/>
      <c r="W26" s="174"/>
      <c r="X26" s="174"/>
      <c r="Y26" s="174"/>
    </row>
    <row r="27" spans="1:25" x14ac:dyDescent="0.2">
      <c r="A27" s="174" t="s">
        <v>291</v>
      </c>
      <c r="B27">
        <v>2.8</v>
      </c>
      <c r="C27">
        <v>1.95</v>
      </c>
      <c r="D27">
        <v>-0.2</v>
      </c>
      <c r="E27">
        <v>4.9000000000000004</v>
      </c>
      <c r="F27" s="174" t="s">
        <v>331</v>
      </c>
      <c r="G27" s="174"/>
      <c r="H27" s="174"/>
      <c r="I27" s="174" t="s">
        <v>328</v>
      </c>
      <c r="J27" s="174" t="s">
        <v>332</v>
      </c>
      <c r="K27" s="174" t="s">
        <v>413</v>
      </c>
      <c r="L27" s="174"/>
      <c r="M27" s="174"/>
      <c r="N27" s="174"/>
      <c r="O27" s="174"/>
      <c r="P27" s="174"/>
      <c r="Q27" s="174"/>
      <c r="R27" s="174"/>
      <c r="S27" s="174"/>
      <c r="T27" s="174"/>
      <c r="U27" s="174"/>
      <c r="V27" s="174"/>
      <c r="W27" s="174"/>
      <c r="X27" s="174"/>
      <c r="Y27" s="174"/>
    </row>
    <row r="28" spans="1:25" x14ac:dyDescent="0.2">
      <c r="A28" s="174" t="s">
        <v>292</v>
      </c>
      <c r="B28">
        <v>2.8</v>
      </c>
      <c r="C28">
        <v>14.5</v>
      </c>
      <c r="D28">
        <v>14.7</v>
      </c>
      <c r="E28">
        <v>14.3</v>
      </c>
      <c r="F28" s="174" t="s">
        <v>333</v>
      </c>
      <c r="G28" s="174"/>
      <c r="H28" s="174"/>
      <c r="I28" s="174" t="s">
        <v>328</v>
      </c>
      <c r="J28" s="174" t="s">
        <v>334</v>
      </c>
      <c r="K28" s="174" t="s">
        <v>414</v>
      </c>
      <c r="L28" s="174"/>
      <c r="M28" s="174"/>
      <c r="N28" s="174"/>
      <c r="O28" s="174"/>
      <c r="P28" s="174"/>
      <c r="Q28" s="174"/>
      <c r="R28" s="174"/>
      <c r="S28" s="174"/>
      <c r="T28" s="174"/>
      <c r="U28" s="174"/>
      <c r="V28" s="174"/>
      <c r="W28" s="174"/>
      <c r="X28" s="174"/>
      <c r="Y28" s="174"/>
    </row>
    <row r="29" spans="1:25" x14ac:dyDescent="0.2">
      <c r="A29" s="174" t="s">
        <v>202</v>
      </c>
      <c r="B29">
        <v>3.5</v>
      </c>
      <c r="C29">
        <v>12</v>
      </c>
      <c r="D29">
        <v>12</v>
      </c>
      <c r="E29">
        <v>12</v>
      </c>
      <c r="F29" s="174" t="s">
        <v>335</v>
      </c>
      <c r="G29" s="174" t="s">
        <v>335</v>
      </c>
      <c r="H29" s="174" t="s">
        <v>335</v>
      </c>
      <c r="I29" s="174" t="s">
        <v>328</v>
      </c>
      <c r="J29" s="174" t="s">
        <v>336</v>
      </c>
      <c r="K29" s="174" t="s">
        <v>336</v>
      </c>
      <c r="L29" s="174"/>
      <c r="M29" s="174"/>
      <c r="N29" s="174"/>
      <c r="O29" s="174"/>
      <c r="P29" s="174"/>
      <c r="Q29" s="174"/>
      <c r="R29" s="174"/>
      <c r="S29" s="174"/>
      <c r="T29" s="174"/>
      <c r="U29" s="174"/>
      <c r="V29" s="174"/>
      <c r="W29" s="174"/>
      <c r="X29" s="174"/>
      <c r="Y29" s="174"/>
    </row>
    <row r="30" spans="1:25" x14ac:dyDescent="0.2">
      <c r="A30" s="174" t="s">
        <v>203</v>
      </c>
      <c r="B30">
        <v>5</v>
      </c>
      <c r="C30">
        <v>12.5</v>
      </c>
      <c r="D30">
        <v>12.5</v>
      </c>
      <c r="E30">
        <v>12.5</v>
      </c>
      <c r="F30" s="174" t="s">
        <v>337</v>
      </c>
      <c r="G30" s="174" t="s">
        <v>337</v>
      </c>
      <c r="H30" s="174" t="s">
        <v>337</v>
      </c>
      <c r="I30" s="174" t="s">
        <v>328</v>
      </c>
      <c r="J30" s="174" t="s">
        <v>336</v>
      </c>
      <c r="K30" s="174" t="s">
        <v>336</v>
      </c>
      <c r="L30" s="174"/>
      <c r="M30" s="174"/>
      <c r="N30" s="174"/>
      <c r="O30" s="174"/>
      <c r="P30" s="174"/>
      <c r="Q30" s="174"/>
      <c r="R30" s="174"/>
      <c r="S30" s="174"/>
      <c r="T30" s="174"/>
      <c r="U30" s="174"/>
      <c r="V30" s="174"/>
      <c r="W30" s="174"/>
      <c r="X30" s="174"/>
      <c r="Y30" s="174"/>
    </row>
    <row r="31" spans="1:25" x14ac:dyDescent="0.2">
      <c r="A31" s="174" t="s">
        <v>12</v>
      </c>
      <c r="B31">
        <v>24</v>
      </c>
      <c r="C31">
        <v>14.6</v>
      </c>
      <c r="D31">
        <v>14.6</v>
      </c>
      <c r="E31">
        <v>14.6</v>
      </c>
      <c r="F31" s="174" t="s">
        <v>328</v>
      </c>
      <c r="G31" s="174" t="s">
        <v>328</v>
      </c>
      <c r="H31" s="174" t="s">
        <v>328</v>
      </c>
      <c r="I31" s="174" t="s">
        <v>328</v>
      </c>
      <c r="J31" s="174" t="s">
        <v>328</v>
      </c>
      <c r="K31" s="174" t="s">
        <v>328</v>
      </c>
      <c r="L31" s="174"/>
      <c r="M31" s="174"/>
      <c r="N31" s="174"/>
      <c r="O31" s="174"/>
      <c r="P31" s="174"/>
      <c r="Q31" s="174"/>
      <c r="R31" s="174"/>
      <c r="S31" s="174"/>
      <c r="T31" s="174"/>
      <c r="U31" s="174"/>
      <c r="V31" s="174"/>
      <c r="W31" s="174"/>
      <c r="X31" s="174"/>
      <c r="Y31" s="174"/>
    </row>
    <row r="32" spans="1:25" x14ac:dyDescent="0.2">
      <c r="A32" s="174" t="s">
        <v>291</v>
      </c>
      <c r="B32">
        <v>3.5</v>
      </c>
      <c r="C32">
        <v>3.3</v>
      </c>
      <c r="D32">
        <v>4.9000000000000004</v>
      </c>
      <c r="E32">
        <v>2.8</v>
      </c>
      <c r="F32" s="174" t="s">
        <v>328</v>
      </c>
      <c r="G32" s="174" t="s">
        <v>328</v>
      </c>
      <c r="H32" s="174" t="s">
        <v>328</v>
      </c>
      <c r="I32" s="174" t="s">
        <v>328</v>
      </c>
      <c r="J32" s="174" t="s">
        <v>328</v>
      </c>
      <c r="K32" s="174" t="s">
        <v>328</v>
      </c>
      <c r="L32" s="174"/>
      <c r="M32" s="174"/>
      <c r="N32" s="174"/>
      <c r="O32" s="174"/>
      <c r="P32" s="174"/>
      <c r="Q32" s="174"/>
      <c r="R32" s="174"/>
      <c r="S32" s="174"/>
      <c r="T32" s="174"/>
      <c r="U32" s="174"/>
      <c r="V32" s="174"/>
      <c r="W32" s="174"/>
      <c r="X32" s="174"/>
      <c r="Y32" s="174"/>
    </row>
    <row r="33" spans="1:25" x14ac:dyDescent="0.2">
      <c r="A33" s="174" t="s">
        <v>292</v>
      </c>
      <c r="B33">
        <v>2.5</v>
      </c>
      <c r="C33">
        <v>1.6</v>
      </c>
      <c r="D33">
        <v>2.4</v>
      </c>
      <c r="E33">
        <v>1.9</v>
      </c>
      <c r="F33" s="174" t="s">
        <v>328</v>
      </c>
      <c r="G33" s="174" t="s">
        <v>328</v>
      </c>
      <c r="H33" s="174" t="s">
        <v>328</v>
      </c>
      <c r="I33" s="174" t="s">
        <v>328</v>
      </c>
      <c r="J33" s="174" t="s">
        <v>328</v>
      </c>
      <c r="K33" s="174" t="s">
        <v>328</v>
      </c>
      <c r="L33" s="174"/>
      <c r="M33" s="174"/>
      <c r="N33" s="174"/>
      <c r="O33" s="174"/>
      <c r="P33" s="174"/>
      <c r="Q33" s="174"/>
      <c r="R33" s="174"/>
      <c r="S33" s="174"/>
      <c r="T33" s="174"/>
      <c r="U33" s="174"/>
      <c r="V33" s="174"/>
      <c r="W33" s="174"/>
      <c r="X33" s="174"/>
      <c r="Y33" s="174"/>
    </row>
    <row r="34" spans="1:25" x14ac:dyDescent="0.2">
      <c r="A34" s="174" t="s">
        <v>202</v>
      </c>
      <c r="B34" t="s">
        <v>8</v>
      </c>
      <c r="C34" t="s">
        <v>8</v>
      </c>
      <c r="D34" t="s">
        <v>8</v>
      </c>
      <c r="E34" t="s">
        <v>8</v>
      </c>
      <c r="F34" s="174" t="s">
        <v>8</v>
      </c>
      <c r="G34" s="174" t="s">
        <v>8</v>
      </c>
      <c r="H34" s="174" t="s">
        <v>8</v>
      </c>
      <c r="I34" s="174" t="s">
        <v>8</v>
      </c>
      <c r="J34" s="174" t="s">
        <v>8</v>
      </c>
      <c r="K34" s="174" t="s">
        <v>8</v>
      </c>
      <c r="L34" s="174" t="s">
        <v>8</v>
      </c>
      <c r="M34" s="174" t="s">
        <v>8</v>
      </c>
      <c r="N34" s="174" t="s">
        <v>8</v>
      </c>
      <c r="O34" s="174" t="s">
        <v>8</v>
      </c>
      <c r="P34" s="174" t="s">
        <v>8</v>
      </c>
      <c r="Q34" s="174" t="s">
        <v>8</v>
      </c>
      <c r="R34" s="174" t="s">
        <v>8</v>
      </c>
      <c r="S34" s="174" t="s">
        <v>8</v>
      </c>
      <c r="T34" s="174" t="s">
        <v>8</v>
      </c>
      <c r="U34" s="174" t="s">
        <v>8</v>
      </c>
      <c r="V34" s="174" t="s">
        <v>8</v>
      </c>
      <c r="W34" s="174" t="s">
        <v>8</v>
      </c>
      <c r="X34" s="174" t="s">
        <v>8</v>
      </c>
      <c r="Y34" s="174" t="s">
        <v>8</v>
      </c>
    </row>
    <row r="35" spans="1:25" x14ac:dyDescent="0.2">
      <c r="A35" s="174" t="s">
        <v>203</v>
      </c>
      <c r="B35">
        <v>1.2</v>
      </c>
      <c r="C35">
        <v>1.5</v>
      </c>
      <c r="D35">
        <v>1.5</v>
      </c>
      <c r="E35">
        <v>1.5</v>
      </c>
      <c r="F35" s="174" t="s">
        <v>328</v>
      </c>
      <c r="G35" s="174" t="s">
        <v>328</v>
      </c>
      <c r="H35" s="174" t="s">
        <v>328</v>
      </c>
      <c r="I35" s="174" t="s">
        <v>328</v>
      </c>
      <c r="J35" s="174" t="s">
        <v>328</v>
      </c>
      <c r="K35" s="174" t="s">
        <v>328</v>
      </c>
      <c r="L35" s="174"/>
      <c r="M35" s="174"/>
      <c r="N35" s="174"/>
      <c r="O35" s="174"/>
      <c r="P35" s="174"/>
      <c r="Q35" s="174"/>
      <c r="R35" s="174"/>
      <c r="S35" s="174"/>
      <c r="T35" s="174"/>
      <c r="U35" s="174"/>
      <c r="V35" s="174"/>
      <c r="W35" s="174"/>
      <c r="X35" s="174"/>
      <c r="Y35" s="174"/>
    </row>
    <row r="36" spans="1:25" x14ac:dyDescent="0.2">
      <c r="A36" s="174" t="s">
        <v>13</v>
      </c>
      <c r="B36">
        <v>125</v>
      </c>
      <c r="C36">
        <v>128</v>
      </c>
      <c r="D36">
        <v>128</v>
      </c>
      <c r="E36">
        <v>128</v>
      </c>
      <c r="F36" s="174" t="s">
        <v>338</v>
      </c>
      <c r="G36" s="174" t="s">
        <v>338</v>
      </c>
      <c r="H36" s="174" t="s">
        <v>338</v>
      </c>
      <c r="I36" s="174" t="s">
        <v>339</v>
      </c>
      <c r="J36" s="174" t="s">
        <v>328</v>
      </c>
      <c r="K36" s="174" t="s">
        <v>328</v>
      </c>
      <c r="L36" s="174"/>
      <c r="M36" s="174"/>
      <c r="N36" s="174"/>
      <c r="O36" s="174"/>
      <c r="P36" s="174" t="s">
        <v>415</v>
      </c>
      <c r="Q36" s="174"/>
      <c r="R36" s="174"/>
      <c r="S36" s="174"/>
      <c r="T36" s="174"/>
      <c r="U36" s="174"/>
      <c r="V36" s="174"/>
      <c r="W36" s="174"/>
      <c r="X36" s="174"/>
      <c r="Y36" s="174"/>
    </row>
    <row r="37" spans="1:25" x14ac:dyDescent="0.2">
      <c r="A37" s="174" t="s">
        <v>291</v>
      </c>
      <c r="B37">
        <v>4</v>
      </c>
      <c r="C37">
        <v>4.9000000000000004</v>
      </c>
      <c r="D37">
        <v>6.6</v>
      </c>
      <c r="E37">
        <v>8.8000000000000007</v>
      </c>
      <c r="F37" s="174" t="s">
        <v>340</v>
      </c>
      <c r="G37" s="174" t="s">
        <v>416</v>
      </c>
      <c r="H37" s="174"/>
      <c r="I37" s="174" t="s">
        <v>341</v>
      </c>
      <c r="J37" s="174" t="s">
        <v>328</v>
      </c>
      <c r="K37" s="174" t="s">
        <v>328</v>
      </c>
      <c r="L37" s="174"/>
      <c r="M37" s="174"/>
      <c r="N37" s="174"/>
      <c r="O37" s="174"/>
      <c r="P37" s="174"/>
      <c r="Q37" s="174"/>
      <c r="R37" s="174"/>
      <c r="S37" s="174"/>
      <c r="T37" s="174"/>
      <c r="U37" s="174"/>
      <c r="V37" s="174"/>
      <c r="W37" s="174"/>
      <c r="X37" s="174"/>
      <c r="Y37" s="174"/>
    </row>
    <row r="38" spans="1:25" x14ac:dyDescent="0.2">
      <c r="A38" s="174" t="s">
        <v>292</v>
      </c>
      <c r="B38">
        <v>20</v>
      </c>
      <c r="C38">
        <v>18.600000000000001</v>
      </c>
      <c r="D38">
        <v>19.5</v>
      </c>
      <c r="E38">
        <v>21.7</v>
      </c>
      <c r="F38" s="174" t="s">
        <v>342</v>
      </c>
      <c r="G38" s="174" t="s">
        <v>417</v>
      </c>
      <c r="H38" s="174"/>
      <c r="I38" s="174" t="s">
        <v>343</v>
      </c>
      <c r="J38" s="174" t="s">
        <v>328</v>
      </c>
      <c r="K38" s="174" t="s">
        <v>328</v>
      </c>
      <c r="L38" s="174"/>
      <c r="M38" s="174"/>
      <c r="N38" s="174"/>
      <c r="O38" s="174"/>
      <c r="P38" s="174"/>
      <c r="Q38" s="174"/>
      <c r="R38" s="174"/>
      <c r="S38" s="174"/>
      <c r="T38" s="174"/>
      <c r="U38" s="174"/>
      <c r="V38" s="174"/>
      <c r="W38" s="174"/>
      <c r="X38" s="174"/>
      <c r="Y38" s="174"/>
    </row>
    <row r="39" spans="1:25" x14ac:dyDescent="0.2">
      <c r="A39" s="174" t="s">
        <v>202</v>
      </c>
      <c r="B39">
        <v>17</v>
      </c>
      <c r="C39">
        <v>23</v>
      </c>
      <c r="D39">
        <v>23</v>
      </c>
      <c r="E39">
        <v>23</v>
      </c>
      <c r="F39" s="174" t="s">
        <v>344</v>
      </c>
      <c r="G39" s="174" t="s">
        <v>344</v>
      </c>
      <c r="H39" s="174" t="s">
        <v>344</v>
      </c>
      <c r="I39" s="174" t="s">
        <v>345</v>
      </c>
      <c r="J39" s="174" t="s">
        <v>328</v>
      </c>
      <c r="K39" s="174" t="s">
        <v>328</v>
      </c>
      <c r="L39" s="174"/>
      <c r="M39" s="174"/>
      <c r="N39" s="174"/>
      <c r="O39" s="174"/>
      <c r="P39" s="174"/>
      <c r="Q39" s="174"/>
      <c r="R39" s="174"/>
      <c r="S39" s="174"/>
      <c r="T39" s="174"/>
      <c r="U39" s="174"/>
      <c r="V39" s="174"/>
      <c r="W39" s="174"/>
      <c r="X39" s="174"/>
      <c r="Y39" s="174"/>
    </row>
    <row r="40" spans="1:25" x14ac:dyDescent="0.2">
      <c r="A40" s="174" t="s">
        <v>203</v>
      </c>
      <c r="B40">
        <v>20</v>
      </c>
      <c r="C40">
        <v>33.6</v>
      </c>
      <c r="D40">
        <v>33.6</v>
      </c>
      <c r="E40">
        <v>33.6</v>
      </c>
      <c r="F40" s="174" t="s">
        <v>346</v>
      </c>
      <c r="G40" s="174" t="s">
        <v>346</v>
      </c>
      <c r="H40" s="174" t="s">
        <v>346</v>
      </c>
      <c r="I40" s="174" t="s">
        <v>345</v>
      </c>
      <c r="J40" s="174" t="s">
        <v>328</v>
      </c>
      <c r="K40" s="174" t="s">
        <v>328</v>
      </c>
      <c r="L40" s="174"/>
      <c r="M40" s="174"/>
      <c r="N40" s="174"/>
      <c r="O40" s="174"/>
      <c r="P40" s="174"/>
      <c r="Q40" s="174"/>
      <c r="R40" s="174"/>
      <c r="S40" s="174"/>
      <c r="T40" s="174"/>
      <c r="U40" s="174"/>
      <c r="V40" s="174"/>
      <c r="W40" s="174"/>
      <c r="X40" s="174"/>
      <c r="Y40" s="174"/>
    </row>
    <row r="41" spans="1:25" x14ac:dyDescent="0.2">
      <c r="A41" s="174" t="s">
        <v>293</v>
      </c>
      <c r="B41">
        <v>800</v>
      </c>
      <c r="C41">
        <v>800</v>
      </c>
      <c r="D41">
        <v>800</v>
      </c>
      <c r="E41">
        <v>800</v>
      </c>
      <c r="F41" s="174" t="s">
        <v>347</v>
      </c>
      <c r="G41" s="174" t="s">
        <v>347</v>
      </c>
      <c r="H41" s="174" t="s">
        <v>347</v>
      </c>
      <c r="I41" s="174" t="s">
        <v>348</v>
      </c>
      <c r="J41" s="174" t="s">
        <v>328</v>
      </c>
      <c r="K41" s="174" t="s">
        <v>328</v>
      </c>
      <c r="L41" s="174"/>
      <c r="M41" s="174"/>
      <c r="N41" s="174"/>
      <c r="O41" s="174"/>
      <c r="P41" s="174"/>
      <c r="Q41" s="174"/>
      <c r="R41" s="174"/>
      <c r="S41" s="174"/>
      <c r="T41" s="174"/>
      <c r="U41" s="174"/>
      <c r="V41" s="174"/>
      <c r="W41" s="174"/>
      <c r="X41" s="174"/>
      <c r="Y41" s="174"/>
    </row>
    <row r="42" spans="1:25" x14ac:dyDescent="0.2">
      <c r="A42" s="174" t="s">
        <v>14</v>
      </c>
      <c r="B42">
        <v>22</v>
      </c>
      <c r="C42">
        <v>20</v>
      </c>
      <c r="D42">
        <v>20</v>
      </c>
      <c r="E42">
        <v>20</v>
      </c>
      <c r="F42" s="174" t="s">
        <v>345</v>
      </c>
      <c r="G42" s="174" t="s">
        <v>345</v>
      </c>
      <c r="H42" s="174" t="s">
        <v>345</v>
      </c>
      <c r="I42" s="174" t="s">
        <v>328</v>
      </c>
      <c r="J42" s="174" t="s">
        <v>328</v>
      </c>
      <c r="K42" s="174" t="s">
        <v>328</v>
      </c>
      <c r="L42" s="174"/>
      <c r="M42" s="174"/>
      <c r="N42" s="174"/>
      <c r="O42" s="174"/>
      <c r="P42" s="174"/>
      <c r="Q42" s="174"/>
      <c r="R42" s="174"/>
      <c r="S42" s="174"/>
      <c r="T42" s="174"/>
      <c r="U42" s="174"/>
      <c r="V42" s="174"/>
      <c r="W42" s="174"/>
      <c r="X42" s="174"/>
      <c r="Y42" s="174"/>
    </row>
    <row r="43" spans="1:25" x14ac:dyDescent="0.2">
      <c r="A43" s="174" t="s">
        <v>291</v>
      </c>
      <c r="B43">
        <v>5</v>
      </c>
      <c r="C43">
        <v>4.9000000000000004</v>
      </c>
      <c r="D43">
        <v>3.5</v>
      </c>
      <c r="E43">
        <v>12.9</v>
      </c>
      <c r="F43" s="174" t="s">
        <v>340</v>
      </c>
      <c r="G43" s="174"/>
      <c r="H43" s="174"/>
      <c r="I43" s="174" t="s">
        <v>328</v>
      </c>
      <c r="J43" s="174" t="s">
        <v>328</v>
      </c>
      <c r="K43" s="174" t="s">
        <v>328</v>
      </c>
      <c r="L43" s="174"/>
      <c r="M43" s="174"/>
      <c r="N43" s="174"/>
      <c r="O43" s="174"/>
      <c r="P43" s="174"/>
      <c r="Q43" s="174"/>
      <c r="R43" s="174"/>
      <c r="S43" s="174"/>
      <c r="T43" s="174"/>
      <c r="U43" s="174"/>
      <c r="V43" s="174"/>
      <c r="W43" s="174"/>
      <c r="X43" s="174"/>
      <c r="Y43" s="174"/>
    </row>
    <row r="44" spans="1:25" x14ac:dyDescent="0.2">
      <c r="A44" s="174" t="s">
        <v>292</v>
      </c>
      <c r="B44">
        <v>38.5</v>
      </c>
      <c r="C44">
        <v>42.6</v>
      </c>
      <c r="D44">
        <v>39.799999999999997</v>
      </c>
      <c r="E44">
        <v>41.7</v>
      </c>
      <c r="F44" s="174" t="s">
        <v>349</v>
      </c>
      <c r="G44" s="174"/>
      <c r="H44" s="174"/>
      <c r="I44" s="174" t="s">
        <v>328</v>
      </c>
      <c r="J44" s="174" t="s">
        <v>328</v>
      </c>
      <c r="K44" s="174" t="s">
        <v>328</v>
      </c>
      <c r="L44" s="174"/>
      <c r="M44" s="174"/>
      <c r="N44" s="174"/>
      <c r="O44" s="174"/>
      <c r="P44" s="174"/>
      <c r="Q44" s="174"/>
      <c r="R44" s="174"/>
      <c r="S44" s="174"/>
      <c r="T44" s="174"/>
      <c r="U44" s="174"/>
      <c r="V44" s="174"/>
      <c r="W44" s="174"/>
      <c r="X44" s="174"/>
      <c r="Y44" s="174"/>
    </row>
    <row r="45" spans="1:25" x14ac:dyDescent="0.2">
      <c r="A45" s="174" t="s">
        <v>202</v>
      </c>
      <c r="B45">
        <v>3</v>
      </c>
      <c r="C45">
        <v>2.5</v>
      </c>
      <c r="D45">
        <v>2.5</v>
      </c>
      <c r="E45">
        <v>2.5</v>
      </c>
      <c r="F45" s="174" t="s">
        <v>350</v>
      </c>
      <c r="G45" s="174" t="s">
        <v>350</v>
      </c>
      <c r="H45" s="174" t="s">
        <v>350</v>
      </c>
      <c r="I45" s="174" t="s">
        <v>328</v>
      </c>
      <c r="J45" s="174" t="s">
        <v>328</v>
      </c>
      <c r="K45" s="174" t="s">
        <v>328</v>
      </c>
      <c r="L45" s="174"/>
      <c r="M45" s="174"/>
      <c r="N45" s="174"/>
      <c r="O45" s="174"/>
      <c r="P45" s="174"/>
      <c r="Q45" s="174"/>
      <c r="R45" s="174"/>
      <c r="S45" s="174"/>
      <c r="T45" s="174"/>
      <c r="U45" s="174"/>
      <c r="V45" s="174"/>
      <c r="W45" s="174"/>
      <c r="X45" s="174"/>
      <c r="Y45" s="174"/>
    </row>
    <row r="46" spans="1:25" x14ac:dyDescent="0.2">
      <c r="A46" s="174" t="s">
        <v>203</v>
      </c>
      <c r="B46">
        <v>6</v>
      </c>
      <c r="C46">
        <v>4.4000000000000004</v>
      </c>
      <c r="D46">
        <v>4.4000000000000004</v>
      </c>
      <c r="E46">
        <v>4.4000000000000004</v>
      </c>
      <c r="F46" s="174" t="s">
        <v>351</v>
      </c>
      <c r="G46" s="174" t="s">
        <v>351</v>
      </c>
      <c r="H46" s="174" t="s">
        <v>351</v>
      </c>
      <c r="I46" s="174" t="s">
        <v>328</v>
      </c>
      <c r="J46" s="174" t="s">
        <v>328</v>
      </c>
      <c r="K46" s="174" t="s">
        <v>328</v>
      </c>
      <c r="L46" s="174"/>
      <c r="M46" s="174"/>
      <c r="N46" s="174"/>
      <c r="O46" s="174"/>
      <c r="P46" s="174"/>
      <c r="Q46" s="174"/>
      <c r="R46" s="174"/>
      <c r="S46" s="174"/>
      <c r="T46" s="174"/>
      <c r="U46" s="174"/>
      <c r="V46" s="174"/>
      <c r="W46" s="174"/>
      <c r="X46" s="174"/>
      <c r="Y46" s="174"/>
    </row>
    <row r="47" spans="1:25" x14ac:dyDescent="0.2">
      <c r="A47" s="174"/>
      <c r="F47" s="174"/>
      <c r="G47" s="174"/>
      <c r="H47" s="174"/>
      <c r="I47" s="174"/>
      <c r="J47" s="174"/>
      <c r="K47" s="174"/>
      <c r="L47" s="174"/>
      <c r="M47" s="174"/>
      <c r="N47" s="174"/>
      <c r="O47" s="174"/>
      <c r="P47" s="174"/>
      <c r="Q47" s="174"/>
      <c r="R47" s="174"/>
      <c r="S47" s="174"/>
      <c r="T47" s="174"/>
      <c r="U47" s="174"/>
      <c r="V47" s="174"/>
      <c r="W47" s="174"/>
      <c r="X47" s="174"/>
      <c r="Y47" s="174"/>
    </row>
    <row r="48" spans="1:25" x14ac:dyDescent="0.2">
      <c r="A48" s="174" t="s">
        <v>418</v>
      </c>
      <c r="B48" t="s">
        <v>419</v>
      </c>
      <c r="C48" t="s">
        <v>419</v>
      </c>
      <c r="D48" t="s">
        <v>419</v>
      </c>
      <c r="E48" t="s">
        <v>419</v>
      </c>
      <c r="F48" s="174" t="s">
        <v>420</v>
      </c>
      <c r="G48" s="174" t="s">
        <v>420</v>
      </c>
      <c r="H48" s="174" t="s">
        <v>420</v>
      </c>
      <c r="I48" s="174" t="s">
        <v>421</v>
      </c>
      <c r="J48" s="174" t="s">
        <v>422</v>
      </c>
      <c r="K48" s="174" t="s">
        <v>422</v>
      </c>
      <c r="L48" s="174" t="s">
        <v>422</v>
      </c>
      <c r="M48" s="174"/>
      <c r="N48" s="174"/>
      <c r="O48" s="174"/>
      <c r="P48" s="174"/>
      <c r="Q48" s="174"/>
      <c r="R48" s="174"/>
      <c r="S48" s="174"/>
      <c r="T48" s="174"/>
      <c r="U48" s="174"/>
      <c r="V48" s="174"/>
      <c r="W48" s="174"/>
      <c r="X48" s="174"/>
      <c r="Y48" s="174"/>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c f e 3 8 5 1 9 - e c d e - 4 d 9 9 - a 9 2 4 - d 0 7 9 a a a 3 2 5 b 3 "   x m l n s = " h t t p : / / s c h e m a s . m i c r o s o f t . c o m / D a t a M a s h u p " > A A A A A C M F A A B Q S w M E F A A C A A g A q 4 X d U O 4 Y T O q n A A A A + A A A A B I A H A B D b 2 5 m a W c v U G F j a 2 F n Z S 5 4 b W w g o h g A K K A U A A A A A A A A A A A A A A A A A A A A A A A A A A A A h Y 9 N D o I w G E S v Q r q n f y p R 8 1 E W b s G Y m B i 3 p F R o h G J o s d z N h U f y C p I o 6 s 7 l T N 4 k b x 6 3 O y R D U w d X 1 V n d m h g x T F G g j G w L b c o Y 9 e 4 U L l E i Y J f L c 1 6 q Y I S N X Q 9 W x 6 h y 7 r I m x H u P / Q y 3 X U k 4 p Y w c s 3 Q v K 9 X k o T b W 5 U Y q 9 F k V / 1 d I w O E l I z i O G F 6 w F c f z i A G Z a s i 0 + S J 8 N M Y U y E 8 J m 7 5 2 f a e E q c N t C m S K Q N 4 v x B N Q S w M E F A A C A A g A q 4 X d 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u F 3 V B C y h W r G g I A A K Y I A A A T A B w A R m 9 y b X V s Y X M v U 2 V j d G l v b j E u b S C i G A A o o B Q A A A A A A A A A A A A A A A A A A A A A A A A A A A D d U 1 1 v 2 j A U f U f i P 1 j Z C 0 g p N J R + b B M P L c s A w a J p I L U T s M p J 7 h I P x 5 4 c h 9 I h / v t s X A R l m G 3 S p E n N i 6 V z r n 3 u u f c k h 0 g S z t D Q n N 7 b c q l c y l M s I E a v n C 7 O Q O Q I G J K C 0 J D y 2 Q y Y g 1 q I g i y X k P p u h L r c Q v 4 i A l q 7 5 W I W c j 6 r v C c U a m 3 O J D C Z V 5 z B m 0 n X 7 4 / 8 9 s n 1 o O N / 8 P 1 g 0 j x F B k J + 0 O k F v v + p F 3 Q m Q 4 l D Q o k E I v M Q B C g 1 w p L J F b q B B G M W Y i x S I D E K e f E g Q Q g g D N i k A w n M g e V H q + 6 7 M J M Q 1 R Y 0 X z h V F 7 G C U l f Z K q D q G i s W u / f D F E B q 0 9 r r c t y T k L U s k 3 H 7 h M U t x 9 y Y r s b v s M T T 7 f O A Y 3 0 p A 4 n m I F L O k x g x M g d c 6 O d H O F R T + y h 4 x i U 8 1 V a O N + W i 8 V P 9 N a X D C F M s 8 p b 2 N N 2 a G j 1 + B 5 T A A / n 2 g y T x V m g k M M u / c p G 1 O S 0 y p s v W c k e a d J d L J 8 A 4 q 0 t V r M T 1 g T B 7 X L n I E B t M w k K u Q a 0 b p b r R H p M X z Z p W W R M D H t X u T n B + m P l 8 k L l V w 0 X 1 + k a E F Z n K y J b 5 g v a Y V b V c I s w y h 9 2 g D 6 O U S 5 X V F x r s j T 0 T m r 0 g b 8 j f Z P e v U v R c U K f G s N 4 v + T B 4 Y z 9 L B j 4 7 D D c P w + e 7 8 B + v v q / 6 f 7 G L N + Y O r t 1 Q / 3 L p u 2 L / Y + V b + M K i e W n B r y z 4 a w v u n d o I m 1 u v Y S P O b E T T R p z b C J t t z + b b s x n 3 b M 4 b N u c N 6 5 5 t z h v P n R / / Y X 8 C U E s B A i 0 A F A A C A A g A q 4 X d U O 4 Y T O q n A A A A + A A A A B I A A A A A A A A A A A A A A A A A A A A A A E N v b m Z p Z y 9 Q Y W N r Y W d l L n h t b F B L A Q I t A B Q A A g A I A K u F 3 V A P y u m r p A A A A O k A A A A T A A A A A A A A A A A A A A A A A P M A A A B b Q 2 9 u d G V u d F 9 U e X B l c 1 0 u e G 1 s U E s B A i 0 A F A A C A A g A q 4 X d U E L K F a s a A g A A p g g A A B M A A A A A A A A A A A A A A A A A 5 A E A A E Z v c m 1 1 b G F z L 1 N l Y 3 R p b 2 4 x L m 1 Q S w U G A A A A A A M A A w D C A A A A S w 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e i w A A A A A A A B Y L 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E V u d H J 5 I F R 5 c G U 9 I k l z U m V s Y X R p b 2 5 z a G l w U m V m c m V z a E V u Y W J s Z W Q i I F Z h b H V l P S J z V H J 1 Z S I g L z 4 8 L 1 N 0 Y W J s Z U V u d H J p Z X M + P C 9 J d G V t P j x J d G V t P j x J d G V t T G 9 j Y X R p b 2 4 + P E l 0 Z W 1 U e X B l P k Z v c m 1 1 b G E 8 L 0 l 0 Z W 1 U e X B l P j x J d G V t U G F 0 a D 5 T Z W N 0 a W 9 u M S 9 I Y W 1 l c n M l M j B l b i U y M H R y a W x i b G 9 r a 2 V u P C 9 J d G V t U G F 0 a D 4 8 L 0 l 0 Z W 1 M b 2 N h d G l v b j 4 8 U 3 R h Y m x l R W 5 0 c m l l c z 4 8 R W 5 0 c n k g V H l w Z T 0 i S X N Q c m l 2 Y X R l I i B W Y W x 1 Z T 0 i b D A i I C 8 + P E V u d H J 5 I F R 5 c G U 9 I l J l c 3 V s d F R 5 c G U i I F Z h b H V l P S J z R X h j Z X B 0 a W 9 u I i A v P j x F b n R y e S B U e X B l P S J G a W x s R W 5 h Y m x l Z C I g V m F s d W U 9 I m w x I i A v P j x F b n R y e S B U e X B l P S J G a W x s T 2 J q Z W N 0 V H l w Z S I g V m F s d W U 9 I n N U Y W J s Z S I g L z 4 8 R W 5 0 c n k g V H l w Z T 0 i R m l s b F R v R G F 0 Y U 1 v Z G V s R W 5 h Y m x l Z C I g V m F s d W U 9 I m w w I i A v P j x F b n R y e S B U e X B l P S J O Y W 1 l V X B k Y X R l Z E F m d G V y R m l s b C I g V m F s d W U 9 I m w w I i A v P j x F b n R y e S B U e X B l P S J O Y X Z p Z 2 F 0 a W 9 u U 3 R l c E 5 h b W U i I F Z h b H V l P S J z T m F 2 a W d h d G l l I i A v P j x F b n R y e S B U e X B l P S J G a W x s V G F y Z 2 V 0 I i B W Y W x 1 Z T 0 i c 0 h h b W V y c 1 9 l b l 9 0 c m l s Y m x v a 2 t l b i I g L z 4 8 R W 5 0 c n k g V H l w Z T 0 i R m l s b G V k Q 2 9 t c G x l d G V S Z X N 1 b H R U b 1 d v c m t z a G V l d C I g V m F s d W U 9 I m w x I i A v P j x F b n R y e S B U e X B l P S J R d W V y e U l E I i B W Y W x 1 Z T 0 i c z I w O D N l M 2 M 5 L W M z Z W E t N D V i Y y 1 i Y W Q z L W E 3 O D J k N m Y 5 N D c 5 M i I g L z 4 8 R W 5 0 c n k g V H l w Z T 0 i Q n V m Z m V y T m V 4 d F J l Z n J l c 2 g i I F Z h b H V l P S J s M S I g L z 4 8 R W 5 0 c n k g V H l w Z T 0 i R m l s b E x h c 3 R V c G R h d G V k I i B W Y W x 1 Z T 0 i Z D I w M j A t M D Y t M j l U M T Q 6 N D U 6 M T A u N T A 4 O D Q 5 N V o i I C 8 + P E V u d H J 5 I F R 5 c G U 9 I k Z p b G x F c n J v c k N v d W 5 0 I i B W Y W x 1 Z T 0 i b D A i I C 8 + P E V u d H J 5 I F R 5 c G U 9 I k Z p b G x D b 2 x 1 b W 5 U e X B l c y I g V m F s d W U 9 I n N B Q V l E Q X d N R k J R Q T 0 i I C 8 + P E V u d H J 5 I F R 5 c G U 9 I k Z p b G x F c n J v c k N v Z G U i I F Z h b H V l P S J z V W 5 r b m 9 3 b i I g L z 4 8 R W 5 0 c n k g V H l w Z T 0 i R m l s b E N v b H V t b k 5 h b W V z I i B W Y W x 1 Z T 0 i c 1 s m c X V v d D t O Y W F t L 3 R 5 c G U m c X V v d D s s J n F 1 b 3 Q 7 T m F h b S Z x d W 9 0 O y w m c X V v d D t n Z X d p Y 2 h 0 J n F 1 b 3 Q 7 L C Z x d W 9 0 O 0 x v Y y 5 Y L W F z J n F 1 b 3 Q 7 L C Z x d W 9 0 O 0 x v Y y 5 Z L W F z J n F 1 b 3 Q 7 L C Z x d W 9 0 O 1 d p b m Q g L y 8 m c X V v d D s s J n F 1 b 3 Q 7 V 2 l u Z C B e I C Z x d W 9 0 O y w m c X V v d D t D b 2 x 1 b W 4 4 J n F 1 b 3 Q 7 X S I g L z 4 8 R W 5 0 c n k g V H l w Z T 0 i R m l s b E N v d W 5 0 I i B W Y W x 1 Z T 0 i b D A i I C 8 + P E V u d H J 5 I F R 5 c G U 9 I k Z p b G x T d G F 0 d X M i I F Z h b H V l P S J z V 2 F p d G l u Z 0 Z v c k V 4 Y 2 V s U m V m c m V z a C I g L z 4 8 R W 5 0 c n k g V H l w Z T 0 i Q W R k Z W R U b 0 R h d G F N b 2 R l b C I g V m F s d W U 9 I m w w I i A v P j x F b n R y e S B U e X B l P S J S Z W x h d G l v b n N o a X B J b m Z v Q 2 9 u d G F p b m V y I i B W Y W x 1 Z T 0 i c 3 s m c X V v d D t j b 2 x 1 b W 5 D b 3 V u d C Z x d W 9 0 O z o 4 L C Z x d W 9 0 O 2 t l e U N v b H V t b k 5 h b W V z J n F 1 b 3 Q 7 O l t d L C Z x d W 9 0 O 3 F 1 Z X J 5 U m V s Y X R p b 2 5 z a G l w c y Z x d W 9 0 O z p b X S w m c X V v d D t j b 2 x 1 b W 5 J Z G V u d G l 0 a W V z J n F 1 b 3 Q 7 O l s m c X V v d D t T Z W N 0 a W 9 u M S 9 I Y W 1 l c n M g Z W 4 g d H J p b G J s b 2 t r Z W 4 v V H l w Z S B n Z X d p a n p p Z 2 Q u e 0 5 h Y W 0 v d H l w Z S w w f S Z x d W 9 0 O y w m c X V v d D t T Z W N 0 a W 9 u M S 9 I Y W 1 l c n M g Z W 4 g d H J p b G J s b 2 t r Z W 4 v V H l w Z S B n Z X d p a n p p Z 2 Q u e 0 5 h Y W 0 s M X 0 m c X V v d D s s J n F 1 b 3 Q 7 U 2 V j d G l v b j E v S G F t Z X J z I G V u I H R y a W x i b G 9 r a 2 V u L 1 R 5 c G U g Z 2 V 3 a W p 6 a W d k L n t n Z X d p Y 2 h 0 L D J 9 J n F 1 b 3 Q 7 L C Z x d W 9 0 O 1 N l Y 3 R p b 2 4 x L 0 h h b W V y c y B l b i B 0 c m l s Y m x v a 2 t l b i 9 U e X B l I G d l d 2 l q e m l n Z C 5 7 T G 9 j L l g t Y X M s M 3 0 m c X V v d D s s J n F 1 b 3 Q 7 U 2 V j d G l v b j E v S G F t Z X J z I G V u I H R y a W x i b G 9 r a 2 V u L 1 R 5 c G U g Z 2 V 3 a W p 6 a W d k L n t M b 2 M u W S 1 h c y w 0 f S Z x d W 9 0 O y w m c X V v d D t T Z W N 0 a W 9 u M S 9 I Y W 1 l c n M g Z W 4 g d H J p b G J s b 2 t r Z W 4 v V H l w Z S B n Z X d p a n p p Z 2 Q u e 1 d p b m Q g L y 8 s N X 0 m c X V v d D s s J n F 1 b 3 Q 7 U 2 V j d G l v b j E v S G F t Z X J z I G V u I H R y a W x i b G 9 r a 2 V u L 1 R 5 c G U g Z 2 V 3 a W p 6 a W d k L n t X a W 5 k I F 4 g L D Z 9 J n F 1 b 3 Q 7 L C Z x d W 9 0 O 1 N l Y 3 R p b 2 4 x L 0 h h b W V y c y B l b i B 0 c m l s Y m x v a 2 t l b i 9 I Y W 1 l c n M g Z W 4 g d H J p b G J s b 2 t r Z W 5 f U 2 h l Z X Q u e 0 N v b H V t b j g s N 3 0 m c X V v d D t d L C Z x d W 9 0 O 0 N v b H V t b k N v d W 5 0 J n F 1 b 3 Q 7 O j g s J n F 1 b 3 Q 7 S 2 V 5 Q 2 9 s d W 1 u T m F t Z X M m c X V v d D s 6 W 1 0 s J n F 1 b 3 Q 7 Q 2 9 s d W 1 u S W R l b n R p d G l l c y Z x d W 9 0 O z p b J n F 1 b 3 Q 7 U 2 V j d G l v b j E v S G F t Z X J z I G V u I H R y a W x i b G 9 r a 2 V u L 1 R 5 c G U g Z 2 V 3 a W p 6 a W d k L n t O Y W F t L 3 R 5 c G U s M H 0 m c X V v d D s s J n F 1 b 3 Q 7 U 2 V j d G l v b j E v S G F t Z X J z I G V u I H R y a W x i b G 9 r a 2 V u L 1 R 5 c G U g Z 2 V 3 a W p 6 a W d k L n t O Y W F t L D F 9 J n F 1 b 3 Q 7 L C Z x d W 9 0 O 1 N l Y 3 R p b 2 4 x L 0 h h b W V y c y B l b i B 0 c m l s Y m x v a 2 t l b i 9 U e X B l I G d l d 2 l q e m l n Z C 5 7 Z 2 V 3 a W N o d C w y f S Z x d W 9 0 O y w m c X V v d D t T Z W N 0 a W 9 u M S 9 I Y W 1 l c n M g Z W 4 g d H J p b G J s b 2 t r Z W 4 v V H l w Z S B n Z X d p a n p p Z 2 Q u e 0 x v Y y 5 Y L W F z L D N 9 J n F 1 b 3 Q 7 L C Z x d W 9 0 O 1 N l Y 3 R p b 2 4 x L 0 h h b W V y c y B l b i B 0 c m l s Y m x v a 2 t l b i 9 U e X B l I G d l d 2 l q e m l n Z C 5 7 T G 9 j L l k t Y X M s N H 0 m c X V v d D s s J n F 1 b 3 Q 7 U 2 V j d G l v b j E v S G F t Z X J z I G V u I H R y a W x i b G 9 r a 2 V u L 1 R 5 c G U g Z 2 V 3 a W p 6 a W d k L n t X a W 5 k I C 8 v L D V 9 J n F 1 b 3 Q 7 L C Z x d W 9 0 O 1 N l Y 3 R p b 2 4 x L 0 h h b W V y c y B l b i B 0 c m l s Y m x v a 2 t l b i 9 U e X B l I G d l d 2 l q e m l n Z C 5 7 V 2 l u Z C B e I C w 2 f S Z x d W 9 0 O y w m c X V v d D t T Z W N 0 a W 9 u M S 9 I Y W 1 l c n M g Z W 4 g d H J p b G J s b 2 t r Z W 4 v S G F t Z X J z I G V u I H R y a W x i b G 9 r a 2 V u X 1 N o Z W V 0 L n t D b 2 x 1 b W 4 4 L D d 9 J n F 1 b 3 Q 7 X S w m c X V v d D t S Z W x h d G l v b n N o a X B J b m Z v J n F 1 b 3 Q 7 O l t d f S I g L z 4 8 L 1 N 0 Y W J s Z U V u d H J p Z X M + P C 9 J d G V t P j x J d G V t P j x J d G V t T G 9 j Y X R p b 2 4 + P E l 0 Z W 1 U e X B l P k Z v c m 1 1 b G E 8 L 0 l 0 Z W 1 U e X B l P j x J d G V t U G F 0 a D 5 T Z W N 0 a W 9 u M S 9 I Y W 1 l c n M l M j B l b i U y M H R y a W x i b G 9 r a 2 V u L 0 J y b 2 4 8 L 0 l 0 Z W 1 Q Y X R o P j w v S X R l b U x v Y 2 F 0 a W 9 u P j x T d G F i b G V F b n R y a W V z I C 8 + P C 9 J d G V t P j x J d G V t P j x J d G V t T G 9 j Y X R p b 2 4 + P E l 0 Z W 1 U e X B l P k Z v c m 1 1 b G E 8 L 0 l 0 Z W 1 U e X B l P j x J d G V t U G F 0 a D 5 T Z W N 0 a W 9 u M S 9 I Y W 1 l c n M l M j B l b i U y M H R y a W x i b G 9 r a 2 V u L 0 h h b W V y c y U y M G V u J T I w d H J p b G J s b 2 t r Z W 5 f U 2 h l Z X Q 8 L 0 l 0 Z W 1 Q Y X R o P j w v S X R l b U x v Y 2 F 0 a W 9 u P j x T d G F i b G V F b n R y a W V z I C 8 + P C 9 J d G V t P j x J d G V t P j x J d G V t T G 9 j Y X R p b 2 4 + P E l 0 Z W 1 U e X B l P k Z v c m 1 1 b G E 8 L 0 l 0 Z W 1 U e X B l P j x J d G V t U G F 0 a D 5 T Z W N 0 a W 9 u M S 9 I Y W 1 l c n M l M j B l b i U y M H R y a W x i b G 9 r a 2 V u L 0 h l Y W R l c n M l M j B t Z X Q l M j B 2 Z X J o b 2 9 n Z C U y M G 5 p d m V h d T w v S X R l b V B h d G g + P C 9 J d G V t T G 9 j Y X R p b 2 4 + P F N 0 Y W J s Z U V u d H J p Z X M g L z 4 8 L 0 l 0 Z W 0 + P E l 0 Z W 0 + P E l 0 Z W 1 M b 2 N h d G l v b j 4 8 S X R l b V R 5 c G U + R m 9 y b X V s Y T w v S X R l b V R 5 c G U + P E l 0 Z W 1 Q Y X R o P l N l Y 3 R p b 2 4 x L 0 h h b W V y c y U y M G V u J T I w d H J p b G J s b 2 t r Z W 4 v V H l w Z S U y M G d l d 2 l q e m l n Z D w v S X R l b V B h d G g + P C 9 J d G V t T G 9 j Y X R p b 2 4 + P F N 0 Y W J s Z U V u d H J p Z X M g L z 4 8 L 0 l 0 Z W 0 + P E l 0 Z W 0 + P E l 0 Z W 1 M b 2 N h d G l v b j 4 8 S X R l b V R 5 c G U + R m 9 y b X V s Y T w v S X R l b V R 5 c G U + P E l 0 Z W 1 Q Y X R o P l N l Y 3 R p b 2 4 x L 1 N j a G 9 0 d G V u P C 9 J d G V t U G F 0 a D 4 8 L 0 l 0 Z W 1 M b 2 N h d G l v b j 4 8 U 3 R h Y m x l R W 5 0 c m l l c z 4 8 R W 5 0 c n k g V H l w Z T 0 i S X N Q c m l 2 Y X R l I i B W Y W x 1 Z T 0 i b D A i I C 8 + P E V u d H J 5 I F R 5 c G U 9 I l J l c 3 V s d F R 5 c G U i I F Z h b H V l P S J z R X h j Z X B 0 a W 9 u I i A v P j x F b n R y e S B U e X B l P S J G a W x s R W 5 h Y m x l Z C I g V m F s d W U 9 I m w x I i A v P j x F b n R y e S B U e X B l P S J G a W x s T 2 J q Z W N 0 V H l w Z S I g V m F s d W U 9 I n N U Y W J s Z S I g L z 4 8 R W 5 0 c n k g V H l w Z T 0 i R m l s b F R v R G F 0 Y U 1 v Z G V s R W 5 h Y m x l Z C I g V m F s d W U 9 I m w w I i A v P j x F b n R y e S B U e X B l P S J O Y W 1 l V X B k Y X R l Z E F m d G V y R m l s b C I g V m F s d W U 9 I m w w I i A v P j x F b n R y e S B U e X B l P S J O Y X Z p Z 2 F 0 a W 9 u U 3 R l c E 5 h b W U i I F Z h b H V l P S J z T m F 2 a W d h d G l l I i A v P j x F b n R y e S B U e X B l P S J G a W x s V G F y Z 2 V 0 I i B W Y W x 1 Z T 0 i c 1 N j a G 9 0 d G V u I i A v P j x F b n R y e S B U e X B l P S J G a W x s Z W R D b 2 1 w b G V 0 Z V J l c 3 V s d F R v V 2 9 y a 3 N o Z W V 0 I i B W Y W x 1 Z T 0 i b D E i I C 8 + P E V u d H J 5 I F R 5 c G U 9 I l F 1 Z X J 5 S U Q i I F Z h b H V l P S J z Y m I 3 M m I 1 Z G Q t M D c y M S 0 0 M m E x L W I 0 O T M t M T I 2 N T Y x Z j Y z Z D g z I i A v P j x F b n R y e S B U e X B l P S J C d W Z m Z X J O Z X h 0 U m V m c m V z a C I g V m F s d W U 9 I m w x I i A v P j x F b n R y e S B U e X B l P S J G a W x s T G F z d F V w Z G F 0 Z W Q i I F Z h b H V l P S J k M j A y M C 0 w N i 0 y O V Q x N D o 0 N T o x M C 4 1 M D A 4 N D k 3 W i I g L z 4 8 R W 5 0 c n k g V H l w Z T 0 i R m l s b E V y c m 9 y Q 2 9 1 b n Q i I F Z h b H V l P S J s M C I g L z 4 8 R W 5 0 c n k g V H l w Z T 0 i R m l s b E N v b H V t b l R 5 c G V z I i B W Y W x 1 Z T 0 i c 0 J n Q U F B Q U E 9 I i A v P j x F b n R y e S B U e X B l P S J G a W x s R X J y b 3 J D b 2 R l I i B W Y W x 1 Z T 0 i c 1 V u a 2 5 v d 2 4 i I C 8 + P E V u d H J 5 I F R 5 c G U 9 I k Z p b G x D b 2 x 1 b W 5 O Y W 1 l c y I g V m F s d W U 9 I n N b J n F 1 b 3 Q 7 Q 2 9 s d W 1 u M S Z x d W 9 0 O y w m c X V v d D t D b 2 x 1 b W 4 y J n F 1 b 3 Q 7 L C Z x d W 9 0 O 0 N v b H V t b j M m c X V v d D s s J n F 1 b 3 Q 7 Q 2 9 s d W 1 u N C Z x d W 9 0 O y w m c X V v d D t D b 2 x 1 b W 4 1 J n F 1 b 3 Q 7 X S I g L z 4 8 R W 5 0 c n k g V H l w Z T 0 i R m l s b E N v d W 5 0 I i B W Y W x 1 Z T 0 i b D A i I C 8 + P E V u d H J 5 I F R 5 c G U 9 I k Z p b G x T d G F 0 d X M i I F Z h b H V l P S J z V 2 F p d G l u Z 0 Z v c k V 4 Y 2 V s U m V m c m V z a C 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9 T Y 2 h v d H R l b i 9 U e X B l I G d l d 2 l q e m l n Z C 5 7 Q 2 9 s d W 1 u M S w w f S Z x d W 9 0 O y w m c X V v d D t T Z W N 0 a W 9 u M S 9 T Y 2 h v d H R l b i 9 U e X B l I G d l d 2 l q e m l n Z C 5 7 Q 2 9 s d W 1 u M i w x f S Z x d W 9 0 O y w m c X V v d D t T Z W N 0 a W 9 u M S 9 T Y 2 h v d H R l b i 9 U e X B l I G d l d 2 l q e m l n Z C 5 7 Q 2 9 s d W 1 u M y w y f S Z x d W 9 0 O y w m c X V v d D t T Z W N 0 a W 9 u M S 9 T Y 2 h v d H R l b i 9 U e X B l I G d l d 2 l q e m l n Z C 5 7 Q 2 9 s d W 1 u N C w z f S Z x d W 9 0 O y w m c X V v d D t T Z W N 0 a W 9 u M S 9 T Y 2 h v d H R l b i 9 U e X B l I G d l d 2 l q e m l n Z C 5 7 Q 2 9 s d W 1 u N S w 0 f S Z x d W 9 0 O 1 0 s J n F 1 b 3 Q 7 Q 2 9 s d W 1 u Q 2 9 1 b n Q m c X V v d D s 6 N S w m c X V v d D t L Z X l D b 2 x 1 b W 5 O Y W 1 l c y Z x d W 9 0 O z p b X S w m c X V v d D t D b 2 x 1 b W 5 J Z G V u d G l 0 a W V z J n F 1 b 3 Q 7 O l s m c X V v d D t T Z W N 0 a W 9 u M S 9 T Y 2 h v d H R l b i 9 U e X B l I G d l d 2 l q e m l n Z C 5 7 Q 2 9 s d W 1 u M S w w f S Z x d W 9 0 O y w m c X V v d D t T Z W N 0 a W 9 u M S 9 T Y 2 h v d H R l b i 9 U e X B l I G d l d 2 l q e m l n Z C 5 7 Q 2 9 s d W 1 u M i w x f S Z x d W 9 0 O y w m c X V v d D t T Z W N 0 a W 9 u M S 9 T Y 2 h v d H R l b i 9 U e X B l I G d l d 2 l q e m l n Z C 5 7 Q 2 9 s d W 1 u M y w y f S Z x d W 9 0 O y w m c X V v d D t T Z W N 0 a W 9 u M S 9 T Y 2 h v d H R l b i 9 U e X B l I G d l d 2 l q e m l n Z C 5 7 Q 2 9 s d W 1 u N C w z f S Z x d W 9 0 O y w m c X V v d D t T Z W N 0 a W 9 u M S 9 T Y 2 h v d H R l b i 9 U e X B l I G d l d 2 l q e m l n Z C 5 7 Q 2 9 s d W 1 u N S w 0 f S Z x d W 9 0 O 1 0 s J n F 1 b 3 Q 7 U m V s Y X R p b 2 5 z a G l w S W 5 m b y Z x d W 9 0 O z p b X X 0 i I C 8 + P C 9 T d G F i b G V F b n R y a W V z P j w v S X R l b T 4 8 S X R l b T 4 8 S X R l b U x v Y 2 F 0 a W 9 u P j x J d G V t V H l w Z T 5 G b 3 J t d W x h P C 9 J d G V t V H l w Z T 4 8 S X R l b V B h d G g + U 2 V j d G l v b j E v U 2 N o b 3 R 0 Z W 4 v Q n J v b j w v S X R l b V B h d G g + P C 9 J d G V t T G 9 j Y X R p b 2 4 + P F N 0 Y W J s Z U V u d H J p Z X M g L z 4 8 L 0 l 0 Z W 0 + P E l 0 Z W 0 + P E l 0 Z W 1 M b 2 N h d G l v b j 4 8 S X R l b V R 5 c G U + R m 9 y b X V s Y T w v S X R l b V R 5 c G U + P E l 0 Z W 1 Q Y X R o P l N l Y 3 R p b 2 4 x L 1 N j a G 9 0 d G V u L 1 N j a G 9 0 d G V u X 1 N o Z W V 0 P C 9 J d G V t U G F 0 a D 4 8 L 0 l 0 Z W 1 M b 2 N h d G l v b j 4 8 U 3 R h Y m x l R W 5 0 c m l l c y A v P j w v S X R l b T 4 8 S X R l b T 4 8 S X R l b U x v Y 2 F 0 a W 9 u P j x J d G V t V H l w Z T 5 G b 3 J t d W x h P C 9 J d G V t V H l w Z T 4 8 S X R l b V B h d G g + U 2 V j d G l v b j E v U 2 N o b 3 R 0 Z W 4 v V H l w Z S U y M G d l d 2 l q e m l n Z D w v S X R l b V B h d G g + P C 9 J d G V t T G 9 j Y X R p b 2 4 + P F N 0 Y W J s Z U V u d H J p Z X M g L z 4 8 L 0 l 0 Z W 0 + P E l 0 Z W 0 + P E l 0 Z W 1 M b 2 N h d G l v b j 4 8 S X R l b V R 5 c G U + R m 9 y b X V s Y T w v S X R l b V R 5 c G U + P E l 0 Z W 1 Q Y X R o P l N l Y 3 R p b 2 4 x L 0 t y Y W 5 l b j w v S X R l b V B h d G g + P C 9 J d G V t T G 9 j Y X R p b 2 4 + P F N 0 Y W J s Z U V u d H J p Z X M + P E V u d H J 5 I F R 5 c G U 9 I k l z U H J p d m F 0 Z S I g V m F s d W U 9 I m w w I i A v P j x F b n R y e S B U e X B l P S J S Z X N 1 b H R U e X B l I i B W Y W x 1 Z T 0 i c 0 V 4 Y 2 V w d G l v b i I g L z 4 8 R W 5 0 c n k g V H l w Z T 0 i R m l s b E V u Y W J s Z W Q i I F Z h b H V l P S J s M S I g L z 4 8 R W 5 0 c n k g V H l w Z T 0 i R m l s b E 9 i a m V j d F R 5 c G U i I F Z h b H V l P S J z V G F i b G U i I C 8 + P E V u d H J 5 I F R 5 c G U 9 I k Z p b G x U b 0 R h d G F N b 2 R l b E V u Y W J s Z W Q i I F Z h b H V l P S J s M C I g L z 4 8 R W 5 0 c n k g V H l w Z T 0 i T m F t Z V V w Z G F 0 Z W R B Z n R l c k Z p b G w i I F Z h b H V l P S J s M C I g L z 4 8 R W 5 0 c n k g V H l w Z T 0 i T m F 2 a W d h d G l v b l N 0 Z X B O Y W 1 l I i B W Y W x 1 Z T 0 i c 0 5 h d m l n Y X R p Z S I g L z 4 8 R W 5 0 c n k g V H l w Z T 0 i R m l s b F R h c m d l d C I g V m F s d W U 9 I n N L c m F u Z W 4 i I C 8 + P E V u d H J 5 I F R 5 c G U 9 I k Z p b G x l Z E N v b X B s Z X R l U m V z d W x 0 V G 9 X b 3 J r c 2 h l Z X Q i I F Z h b H V l P S J s M S I g L z 4 8 R W 5 0 c n k g V H l w Z T 0 i U X V l c n l J R C I g V m F s d W U 9 I n M 0 Z T Y 0 Y j g 1 Y y 0 1 N 2 V k L T Q 0 N W Y t O D Q 0 Z C 0 w Z T U 1 N T V l Z T U z Y W U i I C 8 + P E V u d H J 5 I F R 5 c G U 9 I k J 1 Z m Z l c k 5 l e H R S Z W Z y Z X N o I i B W Y W x 1 Z T 0 i b D E i I C 8 + P E V u d H J 5 I F R 5 c G U 9 I k Z p b G x M Y X N 0 V X B k Y X R l Z C I g V m F s d W U 9 I m Q y M D I w L T A 2 L T I 5 V D E 0 O j Q 1 O j E w L j Q 5 N z g 0 O T R a I i A v P j x F b n R y e S B U e X B l P S J G a W x s R X J y b 3 J D b 3 V u d C I g V m F s d W U 9 I m w w I i A v P j x F b n R y e S B U e X B l P S J G a W x s Q 2 9 s d W 1 u V H l w Z X M i I F Z h b H V l P S J z Q m d B Q U F B Q U d C Z 1 l H Q m d Z R 0 J n W U d C Z 1 l H Q m d Z R 0 J n W U F B Q T 0 9 I i A v P j x F b n R y e S B U e X B l P S J G a W x s R X J y b 3 J D b 2 R l I i B W Y W x 1 Z T 0 i c 1 V u a 2 5 v d 2 4 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t d I i A v P j x F b n R y e S B U e X B l P S J G a W x s Q 2 9 1 b n Q i I F Z h b H V l P S J s M C I g L z 4 8 R W 5 0 c n k g V H l w Z T 0 i R m l s b F N 0 Y X R 1 c y I g V m F s d W U 9 I n N X Y W l 0 a W 5 n R m 9 y R X h j Z W x S Z W Z y Z X N o I i A v P j x F b n R y e S B U e X B l P S J B Z G R l Z F R v R G F 0 Y U 1 v Z G V s I i B W Y W x 1 Z T 0 i b D A i I C 8 + P E V u d H J 5 I F R 5 c G U 9 I l J l b G F 0 a W 9 u c 2 h p c E l u Z m 9 D b 2 5 0 Y W l u Z X I i I F Z h b H V l P S J z e y Z x d W 9 0 O 2 N v b H V t b k N v d W 5 0 J n F 1 b 3 Q 7 O j I 1 L C Z x d W 9 0 O 2 t l e U N v b H V t b k 5 h b W V z J n F 1 b 3 Q 7 O l t d L C Z x d W 9 0 O 3 F 1 Z X J 5 U m V s Y X R p b 2 5 z a G l w c y Z x d W 9 0 O z p b X S w m c X V v d D t j b 2 x 1 b W 5 J Z G V u d G l 0 a W V z J n F 1 b 3 Q 7 O l s m c X V v d D t T Z W N 0 a W 9 u M S 9 L c m F u Z W 4 v V H l w Z S B n Z X d p a n p p Z 2 Q u e 0 N v b H V t b j E s M H 0 m c X V v d D s s J n F 1 b 3 Q 7 U 2 V j d G l v b j E v S 3 J h b m V u L 1 R 5 c G U g Z 2 V 3 a W p 6 a W d k L n t D b 2 x 1 b W 4 y L D F 9 J n F 1 b 3 Q 7 L C Z x d W 9 0 O 1 N l Y 3 R p b 2 4 x L 0 t y Y W 5 l b i 9 U e X B l I G d l d 2 l q e m l n Z C 5 7 Q 2 9 s d W 1 u M y w y f S Z x d W 9 0 O y w m c X V v d D t T Z W N 0 a W 9 u M S 9 L c m F u Z W 4 v V H l w Z S B n Z X d p a n p p Z 2 Q u e 0 N v b H V t b j Q s M 3 0 m c X V v d D s s J n F 1 b 3 Q 7 U 2 V j d G l v b j E v S 3 J h b m V u L 1 R 5 c G U g Z 2 V 3 a W p 6 a W d k L n t D b 2 x 1 b W 4 1 L D R 9 J n F 1 b 3 Q 7 L C Z x d W 9 0 O 1 N l Y 3 R p b 2 4 x L 0 t y Y W 5 l b i 9 U e X B l I G d l d 2 l q e m l n Z C 5 7 Q 2 9 s d W 1 u N i w 1 f S Z x d W 9 0 O y w m c X V v d D t T Z W N 0 a W 9 u M S 9 L c m F u Z W 4 v V H l w Z S B n Z X d p a n p p Z 2 Q u e 0 N v b H V t b j c s N n 0 m c X V v d D s s J n F 1 b 3 Q 7 U 2 V j d G l v b j E v S 3 J h b m V u L 1 R 5 c G U g Z 2 V 3 a W p 6 a W d k L n t D b 2 x 1 b W 4 4 L D d 9 J n F 1 b 3 Q 7 L C Z x d W 9 0 O 1 N l Y 3 R p b 2 4 x L 0 t y Y W 5 l b i 9 U e X B l I G d l d 2 l q e m l n Z C 5 7 Q 2 9 s d W 1 u O S w 4 f S Z x d W 9 0 O y w m c X V v d D t T Z W N 0 a W 9 u M S 9 L c m F u Z W 4 v V H l w Z S B n Z X d p a n p p Z 2 Q u e 0 N v b H V t b j E w L D l 9 J n F 1 b 3 Q 7 L C Z x d W 9 0 O 1 N l Y 3 R p b 2 4 x L 0 t y Y W 5 l b i 9 U e X B l I G d l d 2 l q e m l n Z C 5 7 Q 2 9 s d W 1 u M T E s M T B 9 J n F 1 b 3 Q 7 L C Z x d W 9 0 O 1 N l Y 3 R p b 2 4 x L 0 t y Y W 5 l b i 9 U e X B l I G d l d 2 l q e m l n Z C 5 7 Q 2 9 s d W 1 u M T I s M T F 9 J n F 1 b 3 Q 7 L C Z x d W 9 0 O 1 N l Y 3 R p b 2 4 x L 0 t y Y W 5 l b i 9 U e X B l I G d l d 2 l q e m l n Z C 5 7 Q 2 9 s d W 1 u M T M s M T J 9 J n F 1 b 3 Q 7 L C Z x d W 9 0 O 1 N l Y 3 R p b 2 4 x L 0 t y Y W 5 l b i 9 U e X B l I G d l d 2 l q e m l n Z C 5 7 Q 2 9 s d W 1 u M T Q s M T N 9 J n F 1 b 3 Q 7 L C Z x d W 9 0 O 1 N l Y 3 R p b 2 4 x L 0 t y Y W 5 l b i 9 U e X B l I G d l d 2 l q e m l n Z C 5 7 Q 2 9 s d W 1 u M T U s M T R 9 J n F 1 b 3 Q 7 L C Z x d W 9 0 O 1 N l Y 3 R p b 2 4 x L 0 t y Y W 5 l b i 9 U e X B l I G d l d 2 l q e m l n Z C 5 7 Q 2 9 s d W 1 u M T Y s M T V 9 J n F 1 b 3 Q 7 L C Z x d W 9 0 O 1 N l Y 3 R p b 2 4 x L 0 t y Y W 5 l b i 9 U e X B l I G d l d 2 l q e m l n Z C 5 7 Q 2 9 s d W 1 u M T c s M T Z 9 J n F 1 b 3 Q 7 L C Z x d W 9 0 O 1 N l Y 3 R p b 2 4 x L 0 t y Y W 5 l b i 9 U e X B l I G d l d 2 l q e m l n Z C 5 7 Q 2 9 s d W 1 u M T g s M T d 9 J n F 1 b 3 Q 7 L C Z x d W 9 0 O 1 N l Y 3 R p b 2 4 x L 0 t y Y W 5 l b i 9 U e X B l I G d l d 2 l q e m l n Z C 5 7 Q 2 9 s d W 1 u M T k s M T h 9 J n F 1 b 3 Q 7 L C Z x d W 9 0 O 1 N l Y 3 R p b 2 4 x L 0 t y Y W 5 l b i 9 U e X B l I G d l d 2 l q e m l n Z C 5 7 Q 2 9 s d W 1 u M j A s M T l 9 J n F 1 b 3 Q 7 L C Z x d W 9 0 O 1 N l Y 3 R p b 2 4 x L 0 t y Y W 5 l b i 9 U e X B l I G d l d 2 l q e m l n Z C 5 7 Q 2 9 s d W 1 u M j E s M j B 9 J n F 1 b 3 Q 7 L C Z x d W 9 0 O 1 N l Y 3 R p b 2 4 x L 0 t y Y W 5 l b i 9 U e X B l I G d l d 2 l q e m l n Z C 5 7 Q 2 9 s d W 1 u M j I s M j F 9 J n F 1 b 3 Q 7 L C Z x d W 9 0 O 1 N l Y 3 R p b 2 4 x L 0 t y Y W 5 l b i 9 U e X B l I G d l d 2 l q e m l n Z C 5 7 Q 2 9 s d W 1 u M j M s M j J 9 J n F 1 b 3 Q 7 L C Z x d W 9 0 O 1 N l Y 3 R p b 2 4 x L 0 t y Y W 5 l b i 9 L c m F u Z W 5 f U 2 h l Z X Q u e 0 N v b H V t b j I 0 L D I z f S Z x d W 9 0 O y w m c X V v d D t T Z W N 0 a W 9 u M S 9 L c m F u Z W 4 v S 3 J h b m V u X 1 N o Z W V 0 L n t D b 2 x 1 b W 4 y N S w y N H 0 m c X V v d D t d L C Z x d W 9 0 O 0 N v b H V t b k N v d W 5 0 J n F 1 b 3 Q 7 O j I 1 L C Z x d W 9 0 O 0 t l e U N v b H V t b k 5 h b W V z J n F 1 b 3 Q 7 O l t d L C Z x d W 9 0 O 0 N v b H V t b k l k Z W 5 0 a X R p Z X M m c X V v d D s 6 W y Z x d W 9 0 O 1 N l Y 3 R p b 2 4 x L 0 t y Y W 5 l b i 9 U e X B l I G d l d 2 l q e m l n Z C 5 7 Q 2 9 s d W 1 u M S w w f S Z x d W 9 0 O y w m c X V v d D t T Z W N 0 a W 9 u M S 9 L c m F u Z W 4 v V H l w Z S B n Z X d p a n p p Z 2 Q u e 0 N v b H V t b j I s M X 0 m c X V v d D s s J n F 1 b 3 Q 7 U 2 V j d G l v b j E v S 3 J h b m V u L 1 R 5 c G U g Z 2 V 3 a W p 6 a W d k L n t D b 2 x 1 b W 4 z L D J 9 J n F 1 b 3 Q 7 L C Z x d W 9 0 O 1 N l Y 3 R p b 2 4 x L 0 t y Y W 5 l b i 9 U e X B l I G d l d 2 l q e m l n Z C 5 7 Q 2 9 s d W 1 u N C w z f S Z x d W 9 0 O y w m c X V v d D t T Z W N 0 a W 9 u M S 9 L c m F u Z W 4 v V H l w Z S B n Z X d p a n p p Z 2 Q u e 0 N v b H V t b j U s N H 0 m c X V v d D s s J n F 1 b 3 Q 7 U 2 V j d G l v b j E v S 3 J h b m V u L 1 R 5 c G U g Z 2 V 3 a W p 6 a W d k L n t D b 2 x 1 b W 4 2 L D V 9 J n F 1 b 3 Q 7 L C Z x d W 9 0 O 1 N l Y 3 R p b 2 4 x L 0 t y Y W 5 l b i 9 U e X B l I G d l d 2 l q e m l n Z C 5 7 Q 2 9 s d W 1 u N y w 2 f S Z x d W 9 0 O y w m c X V v d D t T Z W N 0 a W 9 u M S 9 L c m F u Z W 4 v V H l w Z S B n Z X d p a n p p Z 2 Q u e 0 N v b H V t b j g s N 3 0 m c X V v d D s s J n F 1 b 3 Q 7 U 2 V j d G l v b j E v S 3 J h b m V u L 1 R 5 c G U g Z 2 V 3 a W p 6 a W d k L n t D b 2 x 1 b W 4 5 L D h 9 J n F 1 b 3 Q 7 L C Z x d W 9 0 O 1 N l Y 3 R p b 2 4 x L 0 t y Y W 5 l b i 9 U e X B l I G d l d 2 l q e m l n Z C 5 7 Q 2 9 s d W 1 u M T A s O X 0 m c X V v d D s s J n F 1 b 3 Q 7 U 2 V j d G l v b j E v S 3 J h b m V u L 1 R 5 c G U g Z 2 V 3 a W p 6 a W d k L n t D b 2 x 1 b W 4 x M S w x M H 0 m c X V v d D s s J n F 1 b 3 Q 7 U 2 V j d G l v b j E v S 3 J h b m V u L 1 R 5 c G U g Z 2 V 3 a W p 6 a W d k L n t D b 2 x 1 b W 4 x M i w x M X 0 m c X V v d D s s J n F 1 b 3 Q 7 U 2 V j d G l v b j E v S 3 J h b m V u L 1 R 5 c G U g Z 2 V 3 a W p 6 a W d k L n t D b 2 x 1 b W 4 x M y w x M n 0 m c X V v d D s s J n F 1 b 3 Q 7 U 2 V j d G l v b j E v S 3 J h b m V u L 1 R 5 c G U g Z 2 V 3 a W p 6 a W d k L n t D b 2 x 1 b W 4 x N C w x M 3 0 m c X V v d D s s J n F 1 b 3 Q 7 U 2 V j d G l v b j E v S 3 J h b m V u L 1 R 5 c G U g Z 2 V 3 a W p 6 a W d k L n t D b 2 x 1 b W 4 x N S w x N H 0 m c X V v d D s s J n F 1 b 3 Q 7 U 2 V j d G l v b j E v S 3 J h b m V u L 1 R 5 c G U g Z 2 V 3 a W p 6 a W d k L n t D b 2 x 1 b W 4 x N i w x N X 0 m c X V v d D s s J n F 1 b 3 Q 7 U 2 V j d G l v b j E v S 3 J h b m V u L 1 R 5 c G U g Z 2 V 3 a W p 6 a W d k L n t D b 2 x 1 b W 4 x N y w x N n 0 m c X V v d D s s J n F 1 b 3 Q 7 U 2 V j d G l v b j E v S 3 J h b m V u L 1 R 5 c G U g Z 2 V 3 a W p 6 a W d k L n t D b 2 x 1 b W 4 x O C w x N 3 0 m c X V v d D s s J n F 1 b 3 Q 7 U 2 V j d G l v b j E v S 3 J h b m V u L 1 R 5 c G U g Z 2 V 3 a W p 6 a W d k L n t D b 2 x 1 b W 4 x O S w x O H 0 m c X V v d D s s J n F 1 b 3 Q 7 U 2 V j d G l v b j E v S 3 J h b m V u L 1 R 5 c G U g Z 2 V 3 a W p 6 a W d k L n t D b 2 x 1 b W 4 y M C w x O X 0 m c X V v d D s s J n F 1 b 3 Q 7 U 2 V j d G l v b j E v S 3 J h b m V u L 1 R 5 c G U g Z 2 V 3 a W p 6 a W d k L n t D b 2 x 1 b W 4 y M S w y M H 0 m c X V v d D s s J n F 1 b 3 Q 7 U 2 V j d G l v b j E v S 3 J h b m V u L 1 R 5 c G U g Z 2 V 3 a W p 6 a W d k L n t D b 2 x 1 b W 4 y M i w y M X 0 m c X V v d D s s J n F 1 b 3 Q 7 U 2 V j d G l v b j E v S 3 J h b m V u L 1 R 5 c G U g Z 2 V 3 a W p 6 a W d k L n t D b 2 x 1 b W 4 y M y w y M n 0 m c X V v d D s s J n F 1 b 3 Q 7 U 2 V j d G l v b j E v S 3 J h b m V u L 0 t y Y W 5 l b l 9 T a G V l d C 5 7 Q 2 9 s d W 1 u M j Q s M j N 9 J n F 1 b 3 Q 7 L C Z x d W 9 0 O 1 N l Y 3 R p b 2 4 x L 0 t y Y W 5 l b i 9 L c m F u Z W 5 f U 2 h l Z X Q u e 0 N v b H V t b j I 1 L D I 0 f S Z x d W 9 0 O 1 0 s J n F 1 b 3 Q 7 U m V s Y X R p b 2 5 z a G l w S W 5 m b y Z x d W 9 0 O z p b X X 0 i I C 8 + P C 9 T d G F i b G V F b n R y a W V z P j w v S X R l b T 4 8 S X R l b T 4 8 S X R l b U x v Y 2 F 0 a W 9 u P j x J d G V t V H l w Z T 5 G b 3 J t d W x h P C 9 J d G V t V H l w Z T 4 8 S X R l b V B h d G g + U 2 V j d G l v b j E v S 3 J h b m V u L 0 J y b 2 4 8 L 0 l 0 Z W 1 Q Y X R o P j w v S X R l b U x v Y 2 F 0 a W 9 u P j x T d G F i b G V F b n R y a W V z I C 8 + P C 9 J d G V t P j x J d G V t P j x J d G V t T G 9 j Y X R p b 2 4 + P E l 0 Z W 1 U e X B l P k Z v c m 1 1 b G E 8 L 0 l 0 Z W 1 U e X B l P j x J d G V t U G F 0 a D 5 T Z W N 0 a W 9 u M S 9 L c m F u Z W 4 v S 3 J h b m V u X 1 N o Z W V 0 P C 9 J d G V t U G F 0 a D 4 8 L 0 l 0 Z W 1 M b 2 N h d G l v b j 4 8 U 3 R h Y m x l R W 5 0 c m l l c y A v P j w v S X R l b T 4 8 S X R l b T 4 8 S X R l b U x v Y 2 F 0 a W 9 u P j x J d G V t V H l w Z T 5 G b 3 J t d W x h P C 9 J d G V t V H l w Z T 4 8 S X R l b V B h d G g + U 2 V j d G l v b j E v S 3 J h b m V u L 1 R 5 c G U l M j B n Z X d p a n p p Z 2 Q 8 L 0 l 0 Z W 1 Q Y X R o P j w v S X R l b U x v Y 2 F 0 a W 9 u P j x T d G F i b G V F b n R y a W V z I C 8 + P C 9 J d G V t P j w v S X R l b X M + P C 9 M b 2 N h b F B h Y 2 t h Z 2 V N Z X R h Z G F 0 Y U Z p b G U + F g A A A F B L B Q Y A A A A A A A A A A A A A A A A A A A A A A A D a A A A A A Q A A A N C M n d 8 B F d E R j H o A w E / C l + s B A A A A d 7 A d k R 0 M n U i 7 r p p 6 J Z h 5 Q g A A A A A C A A A A A A A D Z g A A w A A A A B A A A A D u z I i 3 b z Y l 1 G 2 i l F C R P n P 9 A A A A A A S A A A C g A A A A E A A A A D E x 5 2 F y 5 i r x c Y R S R U x W Y 6 5 Q A A A A l + J 1 a d d 5 L k X 3 P 9 U + O 4 3 b e g + Q J S 1 8 e p x q H A O 9 v r s S L x 0 Z 7 q e / K D / o t y 6 / I T 5 1 y x K d h X z 5 s u x 8 Z j b V h M v E F G q b e z e A S A Z B Y 2 D K z 3 s N s 5 Q F w 8 M U A A A A 7 Q M B K O W 3 g a L I l e 2 C O G N B c q e + D V Y = < / D a t a M a s h u p > 
</file>

<file path=customXml/itemProps1.xml><?xml version="1.0" encoding="utf-8"?>
<ds:datastoreItem xmlns:ds="http://schemas.openxmlformats.org/officeDocument/2006/customXml" ds:itemID="{ED292962-F8FA-4933-9B2D-87B8D28C24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Kraan en situatie gegevens</vt:lpstr>
      <vt:lpstr>Tabel C1 belastingen</vt:lpstr>
      <vt:lpstr>Funderingsoppervlak</vt:lpstr>
      <vt:lpstr>Tabel C2 Samenvatting</vt:lpstr>
      <vt:lpstr>Grondeigenschappen</vt:lpstr>
      <vt:lpstr>Draagvermogen</vt:lpstr>
      <vt:lpstr>BIJLAGE berek. draagvermogen</vt:lpstr>
      <vt:lpstr>CERTIFICAAT Bouwterrein</vt:lpstr>
      <vt:lpstr>Kranen</vt:lpstr>
      <vt:lpstr>Schotten</vt:lpstr>
      <vt:lpstr>Blok gegevens</vt:lpstr>
      <vt:lpstr>'BIJLAGE berek. draagvermogen'!Afdrukbereik</vt:lpstr>
      <vt:lpstr>'CERTIFICAAT Bouwterrein'!Afdrukbereik</vt:lpstr>
      <vt:lpstr>Bloknaam</vt:lpstr>
      <vt:lpstr>Kraannamen</vt:lpstr>
      <vt:lpstr>Schottennaam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 van Moorsel</dc:creator>
  <cp:keywords>Wachtwoord is Hektec</cp:keywords>
  <cp:lastModifiedBy>Secretariaat | NVAF</cp:lastModifiedBy>
  <cp:lastPrinted>2020-06-29T07:22:19Z</cp:lastPrinted>
  <dcterms:created xsi:type="dcterms:W3CDTF">2018-07-11T11:13:04Z</dcterms:created>
  <dcterms:modified xsi:type="dcterms:W3CDTF">2020-06-29T14:47:17Z</dcterms:modified>
</cp:coreProperties>
</file>