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L:\HEKTEC-ALGEMEEN\40 HEKTEC ENGINEERING\Stabiliteitsberekening\8 Begaanbaarheid bouwterreinen\"/>
    </mc:Choice>
  </mc:AlternateContent>
  <xr:revisionPtr revIDLastSave="0" documentId="13_ncr:1_{A6DAD73E-1C5F-4306-99DC-DC471B41B126}" xr6:coauthVersionLast="47" xr6:coauthVersionMax="47" xr10:uidLastSave="{00000000-0000-0000-0000-000000000000}"/>
  <bookViews>
    <workbookView xWindow="-120" yWindow="-120" windowWidth="29040" windowHeight="15840" tabRatio="758" xr2:uid="{55BDF240-1307-4225-B2D0-CD1D0CD6B304}"/>
  </bookViews>
  <sheets>
    <sheet name="Algemene informatie" sheetId="12" r:id="rId1"/>
    <sheet name="Gebruiksaanwijzing" sheetId="11" r:id="rId2"/>
    <sheet name="Hulpblad kranen" sheetId="2" r:id="rId3"/>
    <sheet name="Hulpblad blokken" sheetId="3" r:id="rId4"/>
    <sheet name="Hulpblad schotten" sheetId="4" r:id="rId5"/>
    <sheet name="Invoer 1 - Kraangegevens" sheetId="1" r:id="rId6"/>
    <sheet name="Invoer 2 - Berek. Belastingen" sheetId="5" r:id="rId7"/>
    <sheet name="Invoer 3 - Funderingsoppervlak" sheetId="6" r:id="rId8"/>
    <sheet name="Overzicht rekenresultaten" sheetId="7" r:id="rId9"/>
    <sheet name="Invoer 4 - Grondeigenschappen" sheetId="8" r:id="rId10"/>
    <sheet name="Invoer 5 - Draagvermogen" sheetId="9" r:id="rId11"/>
    <sheet name="Certificaat (BTC)" sheetId="10" r:id="rId12"/>
  </sheets>
  <definedNames>
    <definedName name="_xlnm.Print_Area" localSheetId="10">'Invoer 5 - Draagvermogen'!$A$1:$V$50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8" l="1"/>
  <c r="M30" i="8"/>
  <c r="AC72" i="1"/>
  <c r="D34" i="1" l="1"/>
  <c r="D33" i="1"/>
  <c r="D28" i="1"/>
  <c r="D27" i="1"/>
  <c r="AG2" i="5"/>
  <c r="AH2" i="5"/>
  <c r="F5" i="6"/>
  <c r="K13" i="1"/>
  <c r="K12" i="1"/>
  <c r="AK2" i="5"/>
  <c r="E10" i="8"/>
  <c r="M10" i="8"/>
  <c r="L10" i="8"/>
  <c r="K10" i="8"/>
  <c r="G10" i="8"/>
  <c r="K53" i="1" l="1"/>
  <c r="K52" i="1"/>
  <c r="AO35" i="1"/>
  <c r="AO37" i="1" s="1"/>
  <c r="AO38" i="1" s="1"/>
  <c r="AO34" i="1"/>
  <c r="AP37" i="1" s="1"/>
  <c r="AP38" i="1" s="1"/>
  <c r="K7" i="1"/>
  <c r="R13" i="1" s="1"/>
  <c r="AK3" i="5"/>
  <c r="AK4" i="5" s="1"/>
  <c r="AL4" i="5" s="1"/>
  <c r="E5" i="5" s="1"/>
  <c r="AH4" i="5" s="1"/>
  <c r="R12" i="1"/>
  <c r="D24" i="1"/>
  <c r="R7" i="1" s="1"/>
  <c r="K47" i="1"/>
  <c r="AM49" i="1"/>
  <c r="AM48" i="1"/>
  <c r="AM47" i="1"/>
  <c r="AC64" i="1" s="1"/>
  <c r="AM46" i="1"/>
  <c r="D22" i="1"/>
  <c r="D51" i="1"/>
  <c r="D50" i="1"/>
  <c r="C68" i="1"/>
  <c r="C67" i="1"/>
  <c r="V4" i="1"/>
  <c r="U4" i="1"/>
  <c r="T4" i="1"/>
  <c r="S4" i="1"/>
  <c r="V5" i="1"/>
  <c r="U5" i="1"/>
  <c r="T5" i="1"/>
  <c r="S5" i="1"/>
  <c r="D19" i="1"/>
  <c r="D18" i="1"/>
  <c r="D13" i="1"/>
  <c r="D12" i="1"/>
  <c r="D9" i="1"/>
  <c r="R6" i="1" s="1"/>
  <c r="D7" i="1"/>
  <c r="C87" i="1"/>
  <c r="C77" i="1"/>
  <c r="C18" i="3"/>
  <c r="C17" i="3"/>
  <c r="C9" i="3"/>
  <c r="C8" i="3"/>
  <c r="K40" i="1"/>
  <c r="K39" i="1"/>
  <c r="K37" i="1"/>
  <c r="T10" i="1" s="1"/>
  <c r="K36" i="1"/>
  <c r="K34" i="1"/>
  <c r="D44" i="1"/>
  <c r="R8" i="1" s="1"/>
  <c r="D43" i="1"/>
  <c r="R5" i="1"/>
  <c r="R4" i="1"/>
  <c r="L30" i="5" l="1"/>
  <c r="AK5" i="5"/>
  <c r="AL5" i="5" s="1"/>
  <c r="E6" i="5" s="1"/>
  <c r="M65" i="1"/>
  <c r="X69" i="1"/>
  <c r="I70" i="1"/>
  <c r="AM52" i="1" s="1"/>
  <c r="X70" i="1"/>
  <c r="I69" i="1"/>
  <c r="AM51" i="1" s="1"/>
  <c r="B20" i="8"/>
  <c r="B19" i="8"/>
  <c r="AH5" i="5" l="1"/>
  <c r="I73" i="1"/>
  <c r="D27" i="10"/>
  <c r="AD1" i="8"/>
  <c r="F37" i="10"/>
  <c r="F59" i="10" s="1"/>
  <c r="F33" i="10" l="1"/>
  <c r="F40" i="10"/>
  <c r="F60" i="10" s="1"/>
  <c r="F39" i="10"/>
  <c r="F35" i="10"/>
  <c r="F34" i="10"/>
  <c r="F32" i="10"/>
  <c r="F31" i="10"/>
  <c r="F30" i="10"/>
  <c r="D26" i="10"/>
  <c r="D25" i="10"/>
  <c r="F19" i="10"/>
  <c r="C5" i="8"/>
  <c r="F21" i="10" l="1"/>
  <c r="AW37" i="9" l="1"/>
  <c r="AT37" i="9"/>
  <c r="AW28" i="9"/>
  <c r="AW30" i="9" s="1"/>
  <c r="AT28" i="9"/>
  <c r="AT30" i="9" s="1"/>
  <c r="AT29" i="9" s="1"/>
  <c r="AU29" i="9" s="1"/>
  <c r="AT39" i="9" l="1"/>
  <c r="AU39" i="9" s="1"/>
  <c r="AU30" i="9"/>
  <c r="AU32" i="9" s="1"/>
  <c r="AU28" i="9" s="1"/>
  <c r="AW29" i="9"/>
  <c r="AX29" i="9" s="1"/>
  <c r="AX30" i="9"/>
  <c r="AT38" i="9" l="1"/>
  <c r="AU38" i="9" s="1"/>
  <c r="AU41" i="9" s="1"/>
  <c r="AU37" i="9" s="1"/>
  <c r="AX32" i="9"/>
  <c r="AX28" i="9"/>
  <c r="M37" i="8" l="1"/>
  <c r="L37" i="8"/>
  <c r="K37" i="8"/>
  <c r="G37" i="8"/>
  <c r="F77" i="8" s="1"/>
  <c r="F37" i="8"/>
  <c r="E77" i="8" s="1"/>
  <c r="E37" i="8"/>
  <c r="C37" i="8"/>
  <c r="B37" i="8"/>
  <c r="M36" i="8"/>
  <c r="L36" i="8"/>
  <c r="K36" i="8"/>
  <c r="G36" i="8"/>
  <c r="F76" i="8" s="1"/>
  <c r="F36" i="8"/>
  <c r="E76" i="8" s="1"/>
  <c r="E36" i="8"/>
  <c r="C36" i="8"/>
  <c r="B36" i="8"/>
  <c r="M35" i="8"/>
  <c r="L35" i="8"/>
  <c r="K35" i="8"/>
  <c r="G35" i="8"/>
  <c r="F75" i="8" s="1"/>
  <c r="F35" i="8"/>
  <c r="E75" i="8" s="1"/>
  <c r="E35" i="8"/>
  <c r="C35" i="8"/>
  <c r="M34" i="8"/>
  <c r="L34" i="8"/>
  <c r="K34" i="8"/>
  <c r="G34" i="8"/>
  <c r="F74" i="8" s="1"/>
  <c r="F34" i="8"/>
  <c r="E74" i="8" s="1"/>
  <c r="E34" i="8"/>
  <c r="C34" i="8"/>
  <c r="M33" i="8"/>
  <c r="L33" i="8"/>
  <c r="K33" i="8"/>
  <c r="G33" i="8"/>
  <c r="F73" i="8" s="1"/>
  <c r="F33" i="8"/>
  <c r="E73" i="8" s="1"/>
  <c r="E33" i="8"/>
  <c r="C33" i="8"/>
  <c r="M32" i="8"/>
  <c r="L32" i="8"/>
  <c r="K32" i="8"/>
  <c r="G32" i="8"/>
  <c r="F72" i="8" s="1"/>
  <c r="F32" i="8"/>
  <c r="E72" i="8" s="1"/>
  <c r="E32" i="8"/>
  <c r="C32" i="8"/>
  <c r="M31" i="8"/>
  <c r="L31" i="8"/>
  <c r="K31" i="8"/>
  <c r="G31" i="8"/>
  <c r="F71" i="8" s="1"/>
  <c r="F31" i="8"/>
  <c r="E71" i="8" s="1"/>
  <c r="E31" i="8"/>
  <c r="C31" i="8"/>
  <c r="L30" i="8"/>
  <c r="K30" i="8"/>
  <c r="G30" i="8"/>
  <c r="F70" i="8" s="1"/>
  <c r="F30" i="8"/>
  <c r="E70" i="8" s="1"/>
  <c r="E30" i="8"/>
  <c r="C30" i="8"/>
  <c r="M29" i="8"/>
  <c r="L29" i="8"/>
  <c r="K29" i="8"/>
  <c r="G29" i="8"/>
  <c r="F69" i="8" s="1"/>
  <c r="F29" i="8"/>
  <c r="E69" i="8" s="1"/>
  <c r="E29" i="8"/>
  <c r="C29" i="8"/>
  <c r="M28" i="8"/>
  <c r="L28" i="8"/>
  <c r="K28" i="8"/>
  <c r="G28" i="8"/>
  <c r="F68" i="8" s="1"/>
  <c r="F28" i="8"/>
  <c r="E68" i="8" s="1"/>
  <c r="E28" i="8"/>
  <c r="C28" i="8"/>
  <c r="M27" i="8"/>
  <c r="L27" i="8"/>
  <c r="K27" i="8"/>
  <c r="G27" i="8"/>
  <c r="F67" i="8" s="1"/>
  <c r="F27" i="8"/>
  <c r="E67" i="8" s="1"/>
  <c r="AC20" i="8"/>
  <c r="AD20" i="8" s="1"/>
  <c r="Z20" i="8"/>
  <c r="AA20" i="8" s="1"/>
  <c r="AB20" i="8" s="1"/>
  <c r="D20" i="8"/>
  <c r="D37" i="8" s="1"/>
  <c r="AC19" i="8"/>
  <c r="AD19" i="8" s="1"/>
  <c r="Z19" i="8"/>
  <c r="AA19" i="8" s="1"/>
  <c r="AB19" i="8" s="1"/>
  <c r="D19" i="8"/>
  <c r="D36" i="8" s="1"/>
  <c r="AC18" i="8"/>
  <c r="AD18" i="8" s="1"/>
  <c r="Z18" i="8"/>
  <c r="AA18" i="8" s="1"/>
  <c r="AB18" i="8" s="1"/>
  <c r="B18" i="8"/>
  <c r="B35" i="8" s="1"/>
  <c r="AC17" i="8"/>
  <c r="AD17" i="8" s="1"/>
  <c r="Z17" i="8"/>
  <c r="AA17" i="8" s="1"/>
  <c r="AB17" i="8" s="1"/>
  <c r="B17" i="8"/>
  <c r="B34" i="8" s="1"/>
  <c r="AC16" i="8"/>
  <c r="AD16" i="8" s="1"/>
  <c r="Z16" i="8"/>
  <c r="AA16" i="8" s="1"/>
  <c r="AB16" i="8" s="1"/>
  <c r="B16" i="8"/>
  <c r="B33" i="8" s="1"/>
  <c r="AC15" i="8"/>
  <c r="AD15" i="8" s="1"/>
  <c r="Z15" i="8"/>
  <c r="AA15" i="8" s="1"/>
  <c r="AB15" i="8" s="1"/>
  <c r="B15" i="8"/>
  <c r="B32" i="8" s="1"/>
  <c r="AC14" i="8"/>
  <c r="AD14" i="8" s="1"/>
  <c r="Z14" i="8"/>
  <c r="AA14" i="8" s="1"/>
  <c r="AB14" i="8" s="1"/>
  <c r="B14" i="8"/>
  <c r="D14" i="8" s="1"/>
  <c r="AC13" i="8"/>
  <c r="AD13" i="8" s="1"/>
  <c r="Z13" i="8"/>
  <c r="AA13" i="8" s="1"/>
  <c r="AB13" i="8" s="1"/>
  <c r="B13" i="8"/>
  <c r="B30" i="8" s="1"/>
  <c r="AC12" i="8"/>
  <c r="AD12" i="8" s="1"/>
  <c r="Z12" i="8"/>
  <c r="AA12" i="8" s="1"/>
  <c r="AB12" i="8" s="1"/>
  <c r="B12" i="8"/>
  <c r="D12" i="8" s="1"/>
  <c r="AC11" i="8"/>
  <c r="AD11" i="8" s="1"/>
  <c r="Z11" i="8"/>
  <c r="AA11" i="8" s="1"/>
  <c r="AB11" i="8" s="1"/>
  <c r="AD10" i="8"/>
  <c r="J32" i="5"/>
  <c r="J31" i="5"/>
  <c r="I31" i="5"/>
  <c r="B26" i="10" l="1"/>
  <c r="D29" i="8"/>
  <c r="D16" i="8"/>
  <c r="D33" i="8" s="1"/>
  <c r="H15" i="8"/>
  <c r="F18" i="10"/>
  <c r="F57" i="10" s="1"/>
  <c r="C10" i="8"/>
  <c r="H10" i="8" s="1"/>
  <c r="F17" i="10"/>
  <c r="T2" i="9"/>
  <c r="H2" i="9"/>
  <c r="N2" i="9"/>
  <c r="B10" i="8"/>
  <c r="F22" i="10" s="1"/>
  <c r="F56" i="10" s="1"/>
  <c r="D15" i="8"/>
  <c r="D32" i="8" s="1"/>
  <c r="H12" i="8"/>
  <c r="H11" i="8"/>
  <c r="H20" i="8"/>
  <c r="H18" i="8"/>
  <c r="H19" i="8"/>
  <c r="B29" i="8"/>
  <c r="D13" i="8"/>
  <c r="B27" i="10" s="1"/>
  <c r="H14" i="8"/>
  <c r="D18" i="8"/>
  <c r="D35" i="8" s="1"/>
  <c r="H30" i="8"/>
  <c r="D31" i="8"/>
  <c r="B31" i="8"/>
  <c r="H36" i="8"/>
  <c r="AE13" i="8"/>
  <c r="AE16" i="8"/>
  <c r="D17" i="8"/>
  <c r="AE20" i="8"/>
  <c r="H31" i="8"/>
  <c r="H37" i="8"/>
  <c r="H17" i="8"/>
  <c r="H28" i="8"/>
  <c r="H32" i="8"/>
  <c r="AE19" i="8"/>
  <c r="H33" i="8"/>
  <c r="H13" i="8"/>
  <c r="H16" i="8"/>
  <c r="H29" i="8"/>
  <c r="H34" i="8"/>
  <c r="AE12" i="8"/>
  <c r="AE15" i="8"/>
  <c r="AE18" i="8"/>
  <c r="AE14" i="8"/>
  <c r="AE17" i="8"/>
  <c r="H35" i="8"/>
  <c r="M31" i="5"/>
  <c r="B11" i="8" l="1"/>
  <c r="B28" i="8" s="1"/>
  <c r="D30" i="8"/>
  <c r="C27" i="8"/>
  <c r="H27" i="8" s="1"/>
  <c r="B50" i="8"/>
  <c r="B67" i="8" s="1"/>
  <c r="B27" i="8"/>
  <c r="N13" i="9" s="1"/>
  <c r="H3" i="9"/>
  <c r="N3" i="9"/>
  <c r="N6" i="9" s="1"/>
  <c r="T3" i="9"/>
  <c r="T6" i="9" s="1"/>
  <c r="D10" i="8"/>
  <c r="D27" i="8" s="1"/>
  <c r="N27" i="8" s="1"/>
  <c r="O27" i="8" s="1"/>
  <c r="AA87" i="8"/>
  <c r="D34" i="8"/>
  <c r="AE26" i="8"/>
  <c r="AE11" i="8"/>
  <c r="AB87" i="8" l="1"/>
  <c r="AF87" i="8"/>
  <c r="E101" i="8" s="1"/>
  <c r="D11" i="8"/>
  <c r="I10" i="8"/>
  <c r="J10" i="8" s="1"/>
  <c r="N10" i="8"/>
  <c r="O10" i="8" s="1"/>
  <c r="B87" i="8"/>
  <c r="B101" i="8" s="1"/>
  <c r="AE87" i="8"/>
  <c r="D101" i="8" s="1"/>
  <c r="I27" i="8"/>
  <c r="J27" i="8" s="1"/>
  <c r="AA88" i="8"/>
  <c r="D28" i="8"/>
  <c r="B25" i="10" l="1"/>
  <c r="N11" i="8"/>
  <c r="N12" i="8" s="1"/>
  <c r="AB88" i="8"/>
  <c r="AA89" i="8" s="1"/>
  <c r="AF89" i="8" s="1"/>
  <c r="AF88" i="8"/>
  <c r="E102" i="8" s="1"/>
  <c r="AD87" i="8"/>
  <c r="AC87" i="8"/>
  <c r="I11" i="8"/>
  <c r="J11" i="8" s="1"/>
  <c r="O11" i="8"/>
  <c r="I28" i="8"/>
  <c r="N28" i="8"/>
  <c r="AE88" i="8"/>
  <c r="D102" i="8" s="1"/>
  <c r="I12" i="8" l="1"/>
  <c r="AC88" i="8"/>
  <c r="AD88" i="8"/>
  <c r="O12" i="8"/>
  <c r="AW39" i="9"/>
  <c r="E103" i="8"/>
  <c r="AE89" i="8"/>
  <c r="D103" i="8" s="1"/>
  <c r="J28" i="8"/>
  <c r="I29" i="8"/>
  <c r="AB89" i="8"/>
  <c r="O28" i="8"/>
  <c r="N29" i="8"/>
  <c r="J12" i="8"/>
  <c r="I13" i="8"/>
  <c r="I14" i="8" s="1"/>
  <c r="AD89" i="8" l="1"/>
  <c r="AC89" i="8"/>
  <c r="AW38" i="9"/>
  <c r="AX38" i="9" s="1"/>
  <c r="AX39" i="9"/>
  <c r="N13" i="8"/>
  <c r="J29" i="8"/>
  <c r="N18" i="9" s="1"/>
  <c r="I30" i="8"/>
  <c r="O29" i="8"/>
  <c r="N30" i="8"/>
  <c r="J13" i="8"/>
  <c r="AA90" i="8"/>
  <c r="AF90" i="8" s="1"/>
  <c r="N14" i="8" l="1"/>
  <c r="O13" i="8"/>
  <c r="F87" i="8" s="1"/>
  <c r="AX41" i="9"/>
  <c r="AX37" i="9" s="1"/>
  <c r="T28" i="9"/>
  <c r="AE90" i="8"/>
  <c r="D104" i="8" s="1"/>
  <c r="E104" i="8"/>
  <c r="J14" i="8"/>
  <c r="I15" i="8"/>
  <c r="AB90" i="8"/>
  <c r="O14" i="8"/>
  <c r="F88" i="8" s="1"/>
  <c r="N15" i="8"/>
  <c r="J30" i="8"/>
  <c r="I31" i="8"/>
  <c r="O30" i="8"/>
  <c r="N31" i="8"/>
  <c r="AD90" i="8" l="1"/>
  <c r="AC90" i="8"/>
  <c r="O15" i="8"/>
  <c r="F89" i="8" s="1"/>
  <c r="N16" i="8"/>
  <c r="O31" i="8"/>
  <c r="N32" i="8"/>
  <c r="AA91" i="8"/>
  <c r="J15" i="8"/>
  <c r="I16" i="8"/>
  <c r="J31" i="8"/>
  <c r="I32" i="8"/>
  <c r="AB91" i="8" l="1"/>
  <c r="AA92" i="8" s="1"/>
  <c r="AF92" i="8" s="1"/>
  <c r="AF91" i="8"/>
  <c r="O16" i="8"/>
  <c r="F90" i="8" s="1"/>
  <c r="N17" i="8"/>
  <c r="J32" i="8"/>
  <c r="I33" i="8"/>
  <c r="E105" i="8"/>
  <c r="AE91" i="8"/>
  <c r="D105" i="8" s="1"/>
  <c r="O32" i="8"/>
  <c r="N33" i="8"/>
  <c r="J16" i="8"/>
  <c r="I17" i="8"/>
  <c r="AD91" i="8" l="1"/>
  <c r="AC91" i="8"/>
  <c r="J17" i="8"/>
  <c r="I18" i="8"/>
  <c r="AE92" i="8"/>
  <c r="D106" i="8" s="1"/>
  <c r="E106" i="8"/>
  <c r="O33" i="8"/>
  <c r="N34" i="8"/>
  <c r="J33" i="8"/>
  <c r="I34" i="8"/>
  <c r="AB92" i="8"/>
  <c r="N18" i="8"/>
  <c r="O17" i="8"/>
  <c r="F91" i="8" l="1"/>
  <c r="AC92" i="8"/>
  <c r="AD92" i="8"/>
  <c r="N19" i="8"/>
  <c r="O18" i="8"/>
  <c r="J34" i="8"/>
  <c r="I35" i="8"/>
  <c r="O34" i="8"/>
  <c r="N35" i="8"/>
  <c r="J18" i="8"/>
  <c r="I19" i="8"/>
  <c r="F92" i="8"/>
  <c r="AA93" i="8"/>
  <c r="AB93" i="8" l="1"/>
  <c r="AF93" i="8"/>
  <c r="E107" i="8" s="1"/>
  <c r="AA94" i="8"/>
  <c r="J35" i="8"/>
  <c r="I36" i="8"/>
  <c r="O35" i="8"/>
  <c r="N36" i="8"/>
  <c r="AE93" i="8"/>
  <c r="D107" i="8" s="1"/>
  <c r="J19" i="8"/>
  <c r="I20" i="8"/>
  <c r="J20" i="8" s="1"/>
  <c r="O19" i="8"/>
  <c r="N20" i="8"/>
  <c r="O20" i="8" s="1"/>
  <c r="AB94" i="8" l="1"/>
  <c r="AF94" i="8"/>
  <c r="AC93" i="8"/>
  <c r="F93" i="8" s="1"/>
  <c r="AD93" i="8"/>
  <c r="O36" i="8"/>
  <c r="N37" i="8"/>
  <c r="O37" i="8" s="1"/>
  <c r="AE94" i="8"/>
  <c r="J36" i="8"/>
  <c r="I37" i="8"/>
  <c r="J37" i="8" s="1"/>
  <c r="AC94" i="8" l="1"/>
  <c r="AD94" i="8"/>
  <c r="F37" i="1"/>
  <c r="AC66" i="1"/>
  <c r="AC65" i="1"/>
  <c r="AC69" i="1"/>
  <c r="AC75" i="1"/>
  <c r="J30" i="5"/>
  <c r="U12" i="1"/>
  <c r="V12" i="1"/>
  <c r="F30" i="5" s="1"/>
  <c r="E30" i="5" l="1"/>
  <c r="K30" i="5" s="1"/>
  <c r="C29" i="5"/>
  <c r="J29" i="5" s="1"/>
  <c r="D32" i="5"/>
  <c r="L32" i="5" l="1"/>
  <c r="K32" i="5"/>
  <c r="J28" i="5"/>
  <c r="J26" i="5"/>
  <c r="J24" i="5"/>
  <c r="J22" i="5"/>
  <c r="J20" i="5"/>
  <c r="J18" i="5"/>
  <c r="J16" i="5"/>
  <c r="J14" i="5"/>
  <c r="L17" i="5" l="1"/>
  <c r="L31" i="5"/>
  <c r="O31" i="5" s="1"/>
  <c r="L25" i="5"/>
  <c r="L19" i="5"/>
  <c r="L13" i="5"/>
  <c r="L21" i="5"/>
  <c r="L29" i="5"/>
  <c r="L23" i="5"/>
  <c r="L27" i="5"/>
  <c r="L15" i="5"/>
  <c r="K31" i="5"/>
  <c r="N31" i="5" s="1"/>
  <c r="K29" i="5"/>
  <c r="K21" i="5"/>
  <c r="K25" i="5"/>
  <c r="K19" i="5"/>
  <c r="K13" i="5"/>
  <c r="K17" i="5"/>
  <c r="K27" i="5"/>
  <c r="K15" i="5"/>
  <c r="K23" i="5"/>
  <c r="D3" i="1"/>
  <c r="F12" i="6" s="1"/>
  <c r="D4" i="1"/>
  <c r="D2" i="1"/>
  <c r="F13" i="6" s="1"/>
  <c r="K19" i="1"/>
  <c r="K20" i="1"/>
  <c r="K21" i="1" s="1"/>
  <c r="K18" i="1"/>
  <c r="F11" i="6" s="1"/>
  <c r="K17" i="1"/>
  <c r="F10" i="6" s="1"/>
  <c r="F16" i="6" l="1"/>
  <c r="F17" i="6" s="1"/>
  <c r="F19" i="6"/>
  <c r="F20" i="6" s="1"/>
  <c r="J16" i="6"/>
  <c r="N69" i="1"/>
  <c r="V10" i="1"/>
  <c r="U10" i="1"/>
  <c r="I26" i="5"/>
  <c r="S10" i="1"/>
  <c r="R10" i="1"/>
  <c r="K31" i="1"/>
  <c r="V9" i="1" s="1"/>
  <c r="K30" i="1"/>
  <c r="U9" i="1" s="1"/>
  <c r="K28" i="1"/>
  <c r="T9" i="1" s="1"/>
  <c r="K27" i="1"/>
  <c r="K25" i="1"/>
  <c r="R9" i="1" s="1"/>
  <c r="C19" i="5"/>
  <c r="J19" i="5" s="1"/>
  <c r="V7" i="1"/>
  <c r="U7" i="1"/>
  <c r="T7" i="1"/>
  <c r="S7" i="1"/>
  <c r="C73" i="1"/>
  <c r="D40" i="1"/>
  <c r="C86" i="1"/>
  <c r="C66" i="1"/>
  <c r="C76" i="1"/>
  <c r="C71" i="1"/>
  <c r="N75" i="1" s="1"/>
  <c r="V11" i="1"/>
  <c r="U11" i="1"/>
  <c r="R11" i="1"/>
  <c r="C21" i="5"/>
  <c r="J21" i="5" s="1"/>
  <c r="N77" i="1" l="1"/>
  <c r="AC77" i="1"/>
  <c r="E28" i="5"/>
  <c r="K28" i="5" s="1"/>
  <c r="F28" i="5"/>
  <c r="L28" i="5" s="1"/>
  <c r="E26" i="5"/>
  <c r="K26" i="5" s="1"/>
  <c r="N26" i="5" s="1"/>
  <c r="E24" i="5"/>
  <c r="K24" i="5" s="1"/>
  <c r="F20" i="5"/>
  <c r="L20" i="5" s="1"/>
  <c r="F26" i="5"/>
  <c r="L26" i="5" s="1"/>
  <c r="O26" i="5" s="1"/>
  <c r="I19" i="5"/>
  <c r="N19" i="5" s="1"/>
  <c r="F24" i="5"/>
  <c r="L24" i="5" s="1"/>
  <c r="I25" i="5"/>
  <c r="N25" i="5" s="1"/>
  <c r="I20" i="5"/>
  <c r="M20" i="5" s="1"/>
  <c r="E20" i="5"/>
  <c r="K20" i="5" s="1"/>
  <c r="C25" i="5"/>
  <c r="J25" i="5" s="1"/>
  <c r="S9" i="1"/>
  <c r="C23" i="5"/>
  <c r="J23" i="5" s="1"/>
  <c r="N71" i="1"/>
  <c r="AC71" i="1" s="1"/>
  <c r="N70" i="1"/>
  <c r="AM55" i="1"/>
  <c r="C27" i="5"/>
  <c r="J27" i="5" s="1"/>
  <c r="V8" i="1"/>
  <c r="M19" i="5"/>
  <c r="O19" i="5"/>
  <c r="N80" i="1"/>
  <c r="AC80" i="1"/>
  <c r="N93" i="1"/>
  <c r="AC93" i="1"/>
  <c r="C78" i="1"/>
  <c r="AC81" i="1"/>
  <c r="C88" i="1"/>
  <c r="C90" i="1" s="1"/>
  <c r="C93" i="1" s="1"/>
  <c r="AC94" i="1"/>
  <c r="X72" i="1"/>
  <c r="M26" i="5"/>
  <c r="K22" i="1"/>
  <c r="E15" i="7" s="1"/>
  <c r="F43" i="10" s="1"/>
  <c r="N94" i="1"/>
  <c r="N81" i="1"/>
  <c r="D30" i="1"/>
  <c r="D31" i="1"/>
  <c r="D15" i="1"/>
  <c r="D16" i="1"/>
  <c r="U8" i="1"/>
  <c r="C72" i="1"/>
  <c r="D47" i="1" s="1"/>
  <c r="I24" i="5"/>
  <c r="X73" i="1"/>
  <c r="O24" i="5" l="1"/>
  <c r="O20" i="5"/>
  <c r="M25" i="5"/>
  <c r="N20" i="5"/>
  <c r="I23" i="5"/>
  <c r="M23" i="5" s="1"/>
  <c r="F22" i="5"/>
  <c r="L22" i="5" s="1"/>
  <c r="E22" i="5"/>
  <c r="K22" i="5" s="1"/>
  <c r="O25" i="5"/>
  <c r="O23" i="5"/>
  <c r="N23" i="5"/>
  <c r="AC70" i="1"/>
  <c r="K50" i="1"/>
  <c r="C89" i="1"/>
  <c r="C92" i="1" s="1"/>
  <c r="X75" i="1"/>
  <c r="N76" i="1"/>
  <c r="AM54" i="1" s="1"/>
  <c r="K49" i="1" s="1"/>
  <c r="AC76" i="1"/>
  <c r="N82" i="1"/>
  <c r="AC82" i="1"/>
  <c r="C79" i="1"/>
  <c r="C82" i="1" s="1"/>
  <c r="S8" i="1" s="1"/>
  <c r="N95" i="1"/>
  <c r="AC95" i="1"/>
  <c r="C80" i="1"/>
  <c r="C83" i="1" s="1"/>
  <c r="D48" i="1" s="1"/>
  <c r="N24" i="5"/>
  <c r="M24" i="5"/>
  <c r="I72" i="1"/>
  <c r="V6" i="1"/>
  <c r="U6" i="1"/>
  <c r="T6" i="1"/>
  <c r="C17" i="5"/>
  <c r="J17" i="5" s="1"/>
  <c r="S6" i="1"/>
  <c r="C15" i="5"/>
  <c r="J15" i="5" s="1"/>
  <c r="F16" i="5"/>
  <c r="L16" i="5" s="1"/>
  <c r="E16" i="5"/>
  <c r="K16" i="5" s="1"/>
  <c r="I16" i="5"/>
  <c r="M16" i="5" s="1"/>
  <c r="I15" i="5"/>
  <c r="F14" i="5"/>
  <c r="L14" i="5" s="1"/>
  <c r="E14" i="5"/>
  <c r="K14" i="5" s="1"/>
  <c r="I14" i="5"/>
  <c r="M14" i="5" s="1"/>
  <c r="I13" i="5"/>
  <c r="I18" i="5" l="1"/>
  <c r="M18" i="5" s="1"/>
  <c r="E18" i="5"/>
  <c r="K18" i="5" s="1"/>
  <c r="K39" i="5" s="1"/>
  <c r="I21" i="5"/>
  <c r="O21" i="5" s="1"/>
  <c r="I17" i="5"/>
  <c r="M17" i="5" s="1"/>
  <c r="F18" i="5"/>
  <c r="L18" i="5" s="1"/>
  <c r="O18" i="5" s="1"/>
  <c r="E82" i="1"/>
  <c r="M15" i="5"/>
  <c r="O16" i="5"/>
  <c r="AC99" i="1"/>
  <c r="AC97" i="1"/>
  <c r="AC98" i="1"/>
  <c r="AC96" i="1"/>
  <c r="AC102" i="1" s="1"/>
  <c r="N86" i="1"/>
  <c r="N84" i="1"/>
  <c r="N97" i="1"/>
  <c r="N99" i="1"/>
  <c r="N98" i="1"/>
  <c r="N103" i="1" s="1"/>
  <c r="N85" i="1"/>
  <c r="N14" i="5"/>
  <c r="O14" i="5"/>
  <c r="N15" i="5"/>
  <c r="O15" i="5"/>
  <c r="N96" i="1"/>
  <c r="O13" i="5"/>
  <c r="N13" i="5"/>
  <c r="N16" i="5"/>
  <c r="N83" i="1"/>
  <c r="T13" i="1"/>
  <c r="T8" i="1"/>
  <c r="AC84" i="1"/>
  <c r="AC83" i="1"/>
  <c r="AC86" i="1"/>
  <c r="AC85" i="1"/>
  <c r="AC90" i="1" s="1"/>
  <c r="T11" i="1" s="1"/>
  <c r="M21" i="5" l="1"/>
  <c r="N18" i="5"/>
  <c r="O17" i="5"/>
  <c r="N17" i="5"/>
  <c r="I32" i="5"/>
  <c r="O32" i="5" s="1"/>
  <c r="L39" i="5"/>
  <c r="N42" i="5" s="1"/>
  <c r="E7" i="7" s="1"/>
  <c r="B3" i="9" s="1"/>
  <c r="N21" i="5"/>
  <c r="I28" i="5"/>
  <c r="O28" i="5" s="1"/>
  <c r="I22" i="5"/>
  <c r="M22" i="5" s="1"/>
  <c r="N90" i="1"/>
  <c r="AC103" i="1"/>
  <c r="AC89" i="1"/>
  <c r="S11" i="1" s="1"/>
  <c r="C13" i="5"/>
  <c r="J13" i="5" s="1"/>
  <c r="J39" i="5" s="1"/>
  <c r="N89" i="1"/>
  <c r="K9" i="1"/>
  <c r="S12" i="1" s="1"/>
  <c r="K10" i="1"/>
  <c r="N102" i="1"/>
  <c r="T12" i="1" l="1"/>
  <c r="M10" i="1"/>
  <c r="N28" i="5"/>
  <c r="O22" i="5"/>
  <c r="N22" i="5"/>
  <c r="M28" i="5"/>
  <c r="I30" i="5"/>
  <c r="M30" i="5" s="1"/>
  <c r="M32" i="5"/>
  <c r="I29" i="5"/>
  <c r="N29" i="5" s="1"/>
  <c r="I27" i="5"/>
  <c r="O27" i="5" s="1"/>
  <c r="N32" i="5"/>
  <c r="M13" i="5"/>
  <c r="F4" i="6"/>
  <c r="E6" i="7"/>
  <c r="B2" i="9" s="1"/>
  <c r="B7" i="9" s="1"/>
  <c r="AU33" i="9" s="1"/>
  <c r="AU34" i="9" s="1"/>
  <c r="H6" i="9" s="1"/>
  <c r="M27" i="5" l="1"/>
  <c r="O29" i="5"/>
  <c r="M29" i="5"/>
  <c r="M39" i="5" s="1"/>
  <c r="N27" i="5"/>
  <c r="O30" i="5"/>
  <c r="O39" i="5" s="1"/>
  <c r="N45" i="5" s="1"/>
  <c r="E3" i="7" s="1"/>
  <c r="N30" i="5"/>
  <c r="N39" i="5" l="1"/>
  <c r="N44" i="5"/>
  <c r="E2" i="7" s="1"/>
  <c r="N41" i="5"/>
  <c r="N46" i="5" l="1"/>
  <c r="F6" i="6" s="1"/>
  <c r="N47" i="5"/>
  <c r="E8" i="7"/>
  <c r="E4" i="7" l="1"/>
  <c r="F7" i="6"/>
  <c r="F8" i="6" s="1"/>
  <c r="F23" i="6" l="1"/>
  <c r="F24" i="6"/>
  <c r="E11" i="7" s="1"/>
  <c r="B5" i="9" s="1"/>
  <c r="N10" i="9" l="1"/>
  <c r="T14" i="9"/>
  <c r="E10" i="7"/>
  <c r="F25" i="6"/>
  <c r="B4" i="9" l="1"/>
  <c r="E12" i="7"/>
  <c r="E14" i="7" l="1"/>
  <c r="B6" i="9"/>
  <c r="T9" i="9" s="1"/>
  <c r="H7" i="9"/>
  <c r="H8" i="9" s="1"/>
  <c r="D48" i="8" s="1"/>
  <c r="N9" i="9"/>
  <c r="H26" i="9"/>
  <c r="T13" i="9"/>
  <c r="E16" i="7" l="1"/>
  <c r="F42" i="10"/>
  <c r="N15" i="9"/>
  <c r="N16" i="9"/>
  <c r="N11" i="9"/>
  <c r="T15" i="9"/>
  <c r="T47" i="9" s="1"/>
  <c r="T39" i="9"/>
  <c r="C56" i="8"/>
  <c r="C55" i="8"/>
  <c r="C57" i="8"/>
  <c r="C60" i="8"/>
  <c r="C51" i="8"/>
  <c r="C53" i="8"/>
  <c r="C54" i="8"/>
  <c r="C52" i="8"/>
  <c r="C50" i="8"/>
  <c r="E50" i="8" s="1"/>
  <c r="C58" i="8"/>
  <c r="C59" i="8"/>
  <c r="T10" i="9"/>
  <c r="AU42" i="9" s="1"/>
  <c r="AU43" i="9" s="1"/>
  <c r="T19" i="9" s="1"/>
  <c r="T20" i="9" s="1"/>
  <c r="T21" i="9" s="1"/>
  <c r="D85" i="8" s="1"/>
  <c r="C87" i="8" l="1"/>
  <c r="E87" i="8" s="1"/>
  <c r="C88" i="8"/>
  <c r="C89" i="8"/>
  <c r="C90" i="8"/>
  <c r="C91" i="8"/>
  <c r="C92" i="8"/>
  <c r="C93" i="8"/>
  <c r="B9" i="9"/>
  <c r="F44" i="10"/>
  <c r="C68" i="8"/>
  <c r="B52" i="8"/>
  <c r="E52" i="8" s="1"/>
  <c r="C67" i="8"/>
  <c r="D50" i="8"/>
  <c r="B51" i="8"/>
  <c r="E51" i="8" s="1"/>
  <c r="B54" i="8"/>
  <c r="E54" i="8" s="1"/>
  <c r="C70" i="8"/>
  <c r="B60" i="8"/>
  <c r="E60" i="8" s="1"/>
  <c r="C76" i="8"/>
  <c r="C77" i="8"/>
  <c r="C69" i="8"/>
  <c r="B53" i="8"/>
  <c r="E53" i="8" s="1"/>
  <c r="B56" i="8"/>
  <c r="E56" i="8" s="1"/>
  <c r="C72" i="8"/>
  <c r="C75" i="8"/>
  <c r="B59" i="8"/>
  <c r="E59" i="8" s="1"/>
  <c r="C74" i="8"/>
  <c r="B58" i="8"/>
  <c r="E58" i="8" s="1"/>
  <c r="C71" i="8"/>
  <c r="B55" i="8"/>
  <c r="E55" i="8" s="1"/>
  <c r="B57" i="8"/>
  <c r="E57" i="8" s="1"/>
  <c r="C73" i="8"/>
  <c r="N33" i="9"/>
  <c r="F48" i="10" s="1"/>
  <c r="B90" i="8" l="1"/>
  <c r="E90" i="8" s="1"/>
  <c r="B92" i="8"/>
  <c r="B89" i="8"/>
  <c r="E89" i="8" s="1"/>
  <c r="B93" i="8"/>
  <c r="E93" i="8" s="1"/>
  <c r="B91" i="8"/>
  <c r="E91" i="8" s="1"/>
  <c r="D87" i="8"/>
  <c r="B88" i="8"/>
  <c r="E88" i="8" s="1"/>
  <c r="H48" i="10"/>
  <c r="N34" i="9"/>
  <c r="L36" i="9" s="1"/>
  <c r="N37" i="9" s="1"/>
  <c r="H34" i="9"/>
  <c r="B75" i="8"/>
  <c r="D58" i="8"/>
  <c r="B77" i="8"/>
  <c r="D60" i="8"/>
  <c r="B72" i="8"/>
  <c r="D55" i="8"/>
  <c r="I50" i="8"/>
  <c r="G50" i="8"/>
  <c r="I67" i="8"/>
  <c r="F50" i="8"/>
  <c r="D67" i="8"/>
  <c r="G67" i="8" s="1"/>
  <c r="H67" i="8" s="1"/>
  <c r="D57" i="8"/>
  <c r="B74" i="8"/>
  <c r="D56" i="8"/>
  <c r="B73" i="8"/>
  <c r="D54" i="8"/>
  <c r="B71" i="8"/>
  <c r="B69" i="8"/>
  <c r="D52" i="8"/>
  <c r="D59" i="8"/>
  <c r="B76" i="8"/>
  <c r="B70" i="8"/>
  <c r="D53" i="8"/>
  <c r="B68" i="8"/>
  <c r="D51" i="8"/>
  <c r="B106" i="8" l="1"/>
  <c r="E92" i="8"/>
  <c r="B103" i="8"/>
  <c r="D89" i="8"/>
  <c r="D91" i="8"/>
  <c r="B105" i="8"/>
  <c r="D88" i="8"/>
  <c r="B102" i="8"/>
  <c r="D93" i="8"/>
  <c r="B107" i="8"/>
  <c r="C101" i="8"/>
  <c r="F101" i="8" s="1"/>
  <c r="G101" i="8" s="1"/>
  <c r="H87" i="8"/>
  <c r="H101" i="8"/>
  <c r="H114" i="8"/>
  <c r="G114" i="8"/>
  <c r="G87" i="8"/>
  <c r="B104" i="8"/>
  <c r="D90" i="8"/>
  <c r="D92" i="8"/>
  <c r="D74" i="8"/>
  <c r="G74" i="8" s="1"/>
  <c r="H74" i="8" s="1"/>
  <c r="I74" i="8"/>
  <c r="F57" i="8"/>
  <c r="I57" i="8"/>
  <c r="G57" i="8"/>
  <c r="J57" i="8" s="1"/>
  <c r="G51" i="8"/>
  <c r="J51" i="8" s="1"/>
  <c r="F51" i="8"/>
  <c r="I68" i="8"/>
  <c r="D68" i="8"/>
  <c r="G68" i="8" s="1"/>
  <c r="H68" i="8" s="1"/>
  <c r="I52" i="8"/>
  <c r="G52" i="8"/>
  <c r="J52" i="8" s="1"/>
  <c r="F52" i="8"/>
  <c r="D69" i="8"/>
  <c r="G69" i="8" s="1"/>
  <c r="H69" i="8" s="1"/>
  <c r="I69" i="8"/>
  <c r="I72" i="8"/>
  <c r="I55" i="8"/>
  <c r="D72" i="8"/>
  <c r="G72" i="8" s="1"/>
  <c r="H72" i="8" s="1"/>
  <c r="G55" i="8"/>
  <c r="J55" i="8" s="1"/>
  <c r="F55" i="8"/>
  <c r="I76" i="8"/>
  <c r="F59" i="8"/>
  <c r="G59" i="8"/>
  <c r="J59" i="8" s="1"/>
  <c r="D76" i="8"/>
  <c r="G76" i="8" s="1"/>
  <c r="H76" i="8" s="1"/>
  <c r="I59" i="8"/>
  <c r="F56" i="8"/>
  <c r="I56" i="8"/>
  <c r="G56" i="8"/>
  <c r="J56" i="8" s="1"/>
  <c r="I73" i="8"/>
  <c r="D73" i="8"/>
  <c r="G73" i="8" s="1"/>
  <c r="H73" i="8" s="1"/>
  <c r="I60" i="8"/>
  <c r="D77" i="8"/>
  <c r="G77" i="8" s="1"/>
  <c r="H77" i="8" s="1"/>
  <c r="F60" i="8"/>
  <c r="I77" i="8"/>
  <c r="G60" i="8"/>
  <c r="J60" i="8" s="1"/>
  <c r="I51" i="8"/>
  <c r="I53" i="8"/>
  <c r="I70" i="8"/>
  <c r="G53" i="8"/>
  <c r="J53" i="8" s="1"/>
  <c r="F53" i="8"/>
  <c r="D70" i="8"/>
  <c r="G70" i="8" s="1"/>
  <c r="H70" i="8" s="1"/>
  <c r="J50" i="8"/>
  <c r="I58" i="8"/>
  <c r="G58" i="8"/>
  <c r="J58" i="8" s="1"/>
  <c r="I75" i="8"/>
  <c r="D75" i="8"/>
  <c r="G75" i="8" s="1"/>
  <c r="H75" i="8" s="1"/>
  <c r="F58" i="8"/>
  <c r="G54" i="8"/>
  <c r="J54" i="8" s="1"/>
  <c r="D71" i="8"/>
  <c r="G71" i="8" s="1"/>
  <c r="H71" i="8" s="1"/>
  <c r="I71" i="8"/>
  <c r="I54" i="8"/>
  <c r="F54" i="8"/>
  <c r="H90" i="8" l="1"/>
  <c r="H104" i="8"/>
  <c r="G90" i="8"/>
  <c r="G117" i="8"/>
  <c r="H117" i="8"/>
  <c r="C104" i="8"/>
  <c r="F104" i="8" s="1"/>
  <c r="G104" i="8" s="1"/>
  <c r="G115" i="8"/>
  <c r="C102" i="8"/>
  <c r="F102" i="8" s="1"/>
  <c r="G102" i="8" s="1"/>
  <c r="H88" i="8"/>
  <c r="H115" i="8"/>
  <c r="H102" i="8"/>
  <c r="G88" i="8"/>
  <c r="C105" i="8"/>
  <c r="H91" i="8"/>
  <c r="H105" i="8"/>
  <c r="G91" i="8"/>
  <c r="F105" i="8"/>
  <c r="G105" i="8" s="1"/>
  <c r="H118" i="8"/>
  <c r="G118" i="8"/>
  <c r="H89" i="8"/>
  <c r="G116" i="8"/>
  <c r="H103" i="8"/>
  <c r="G89" i="8"/>
  <c r="H116" i="8"/>
  <c r="C103" i="8"/>
  <c r="F103" i="8" s="1"/>
  <c r="G103" i="8" s="1"/>
  <c r="F106" i="8"/>
  <c r="G106" i="8" s="1"/>
  <c r="C106" i="8"/>
  <c r="H92" i="8"/>
  <c r="H119" i="8"/>
  <c r="H106" i="8"/>
  <c r="G92" i="8"/>
  <c r="G119" i="8"/>
  <c r="C107" i="8"/>
  <c r="H107" i="8"/>
  <c r="H93" i="8"/>
  <c r="H120" i="8"/>
  <c r="G120" i="8"/>
  <c r="F107" i="8"/>
  <c r="G107" i="8" s="1"/>
  <c r="G93" i="8"/>
  <c r="J62" i="8"/>
  <c r="H79" i="8"/>
  <c r="F62" i="8"/>
  <c r="I62" i="8"/>
  <c r="I79" i="8"/>
  <c r="G62" i="8"/>
  <c r="H109" i="8" l="1"/>
  <c r="H95" i="8"/>
  <c r="G95" i="8"/>
  <c r="G109" i="8"/>
  <c r="G122" i="8"/>
  <c r="H122" i="8"/>
  <c r="G63" i="8"/>
  <c r="G64" i="8" s="1"/>
  <c r="H11" i="9" s="1"/>
  <c r="I80" i="8"/>
  <c r="H13" i="9" s="1"/>
  <c r="J63" i="8"/>
  <c r="J64" i="8" s="1"/>
  <c r="H12" i="9" s="1"/>
  <c r="H110" i="8" l="1"/>
  <c r="T26" i="9" s="1"/>
  <c r="H96" i="8"/>
  <c r="H97" i="8" s="1"/>
  <c r="T24" i="9" s="1"/>
  <c r="H123" i="8"/>
  <c r="H124" i="8" s="1"/>
  <c r="T25" i="9" s="1"/>
  <c r="H10" i="9"/>
  <c r="H20" i="9"/>
  <c r="H24" i="9"/>
  <c r="H30" i="9"/>
  <c r="H28" i="9"/>
  <c r="T23" i="9" l="1"/>
  <c r="T33" i="9"/>
  <c r="T37" i="9"/>
  <c r="T41" i="9"/>
  <c r="T43" i="9"/>
  <c r="H29" i="9"/>
  <c r="H25" i="9"/>
  <c r="H22" i="9"/>
  <c r="H21" i="9"/>
  <c r="T38" i="9" l="1"/>
  <c r="T42" i="9"/>
  <c r="T34" i="9"/>
  <c r="T35" i="9"/>
  <c r="H33" i="9"/>
  <c r="T46" i="9" l="1"/>
  <c r="F36" i="9"/>
  <c r="H37" i="9" s="1"/>
  <c r="F47" i="10"/>
  <c r="H47" i="10" s="1"/>
  <c r="R49" i="9" l="1"/>
  <c r="T50" i="9" s="1"/>
  <c r="F49" i="10"/>
  <c r="H49" i="10" s="1"/>
  <c r="E27" i="8"/>
  <c r="Z10" i="8"/>
  <c r="AA10" i="8"/>
  <c r="AB10" i="8" s="1"/>
</calcChain>
</file>

<file path=xl/sharedStrings.xml><?xml version="1.0" encoding="utf-8"?>
<sst xmlns="http://schemas.openxmlformats.org/spreadsheetml/2006/main" count="1201" uniqueCount="513">
  <si>
    <t>Schotten</t>
  </si>
  <si>
    <t>Lengte</t>
  </si>
  <si>
    <t>Gewicht</t>
  </si>
  <si>
    <t>Kraan</t>
  </si>
  <si>
    <t>Giek</t>
  </si>
  <si>
    <t>Hoek</t>
  </si>
  <si>
    <t>Makelaar</t>
  </si>
  <si>
    <t>Spoorbreedte</t>
  </si>
  <si>
    <t>Lengte rups</t>
  </si>
  <si>
    <t>Rupsblad breedte</t>
  </si>
  <si>
    <t>mm</t>
  </si>
  <si>
    <t>CX700</t>
  </si>
  <si>
    <t>kN</t>
  </si>
  <si>
    <t>Onderwagen</t>
  </si>
  <si>
    <t>Hoogte</t>
  </si>
  <si>
    <t>m</t>
  </si>
  <si>
    <t>Wind //</t>
  </si>
  <si>
    <t>Wind ^</t>
  </si>
  <si>
    <t>Bovenwagen</t>
  </si>
  <si>
    <r>
      <t>m</t>
    </r>
    <r>
      <rPr>
        <vertAlign val="superscript"/>
        <sz val="11"/>
        <color theme="1"/>
        <rFont val="Calibri"/>
        <family val="2"/>
        <scheme val="minor"/>
      </rPr>
      <t>2</t>
    </r>
  </si>
  <si>
    <t>Belasting</t>
  </si>
  <si>
    <t>Loc.</t>
  </si>
  <si>
    <t>Wind opp.</t>
  </si>
  <si>
    <t>X-as</t>
  </si>
  <si>
    <t>Y-as</t>
  </si>
  <si>
    <t>Schoorcilinder</t>
  </si>
  <si>
    <r>
      <t>h m</t>
    </r>
    <r>
      <rPr>
        <vertAlign val="superscript"/>
        <sz val="11"/>
        <color theme="1"/>
        <rFont val="Calibri"/>
        <family val="2"/>
        <scheme val="minor"/>
      </rPr>
      <t>2</t>
    </r>
  </si>
  <si>
    <r>
      <t>// m</t>
    </r>
    <r>
      <rPr>
        <vertAlign val="superscript"/>
        <sz val="11"/>
        <color theme="1"/>
        <rFont val="Calibri"/>
        <family val="2"/>
        <scheme val="minor"/>
      </rPr>
      <t>2</t>
    </r>
  </si>
  <si>
    <t>°</t>
  </si>
  <si>
    <t>Ja</t>
  </si>
  <si>
    <t>Nee</t>
  </si>
  <si>
    <t>Situatie</t>
  </si>
  <si>
    <t>Te Lood</t>
  </si>
  <si>
    <t>Schoor VO</t>
  </si>
  <si>
    <t>Schoor AO</t>
  </si>
  <si>
    <t>Schoorstand</t>
  </si>
  <si>
    <t>Aggregaat</t>
  </si>
  <si>
    <t>Ballast</t>
  </si>
  <si>
    <t>Naam</t>
  </si>
  <si>
    <t>m2</t>
  </si>
  <si>
    <t>ABI HPZ 630-700</t>
  </si>
  <si>
    <t>HQP 700</t>
  </si>
  <si>
    <t>ICE 8RF</t>
  </si>
  <si>
    <t>ICE 18RF</t>
  </si>
  <si>
    <t>Type</t>
  </si>
  <si>
    <t>In giek of maklaar?</t>
  </si>
  <si>
    <t>Blok / Boormotor</t>
  </si>
  <si>
    <t>Loc. X-as t.o.v. spil</t>
  </si>
  <si>
    <t>Loc. Y-as t.o.v. spil</t>
  </si>
  <si>
    <t>Breedte</t>
  </si>
  <si>
    <t>Totaalgewicht</t>
  </si>
  <si>
    <t>Azobé 5x1x0,15</t>
  </si>
  <si>
    <t>Azobé 5x1x0,2</t>
  </si>
  <si>
    <t>Azobé 5x1x0,25</t>
  </si>
  <si>
    <t>Azobé 5x1x0,3</t>
  </si>
  <si>
    <t>Azobé 6x1x0,15</t>
  </si>
  <si>
    <t>Azobé 6x1x0,2</t>
  </si>
  <si>
    <t>Azobé 7x1x0,2</t>
  </si>
  <si>
    <t>Azobé 8x1x0,2</t>
  </si>
  <si>
    <t>Azobé+st.kop 8x1x0,25</t>
  </si>
  <si>
    <t>Azobé 8x1x0,25</t>
  </si>
  <si>
    <t>Azobé+st.kop 8x1x0,3</t>
  </si>
  <si>
    <t>Azobé 9x1x0,25</t>
  </si>
  <si>
    <t>Azobé 10x1x0,25</t>
  </si>
  <si>
    <t>Azobé+st.kop 10x1x0,3</t>
  </si>
  <si>
    <t>Azobé 10x1x0,3</t>
  </si>
  <si>
    <t>Azobé 11x1x0,3</t>
  </si>
  <si>
    <t>Azobé 11x1,25x0,3</t>
  </si>
  <si>
    <t>Azobé 12x1,25x0,3</t>
  </si>
  <si>
    <t>Azobé+st.kop 12x1,25x0,3</t>
  </si>
  <si>
    <t>Staal 8x2,4x0,2</t>
  </si>
  <si>
    <t>Staal 10x2,4x0,2</t>
  </si>
  <si>
    <t>Staal 10x1,2x0,3</t>
  </si>
  <si>
    <t>Staal 12x1,2x0,3</t>
  </si>
  <si>
    <t>Staal 14x1x0,3</t>
  </si>
  <si>
    <t>Schuiftafel uitgeschoven</t>
  </si>
  <si>
    <t>Basis positie</t>
  </si>
  <si>
    <t>Te lood + uitschuiven</t>
  </si>
  <si>
    <t>Uitgeschoven</t>
  </si>
  <si>
    <t>Schoor</t>
  </si>
  <si>
    <t>Verplaatsing x b.k.</t>
  </si>
  <si>
    <t>Loc. X-as midden giek t.o.v. spil</t>
  </si>
  <si>
    <t>Loc. X-as midden schoorcilinder t.o.v. spil</t>
  </si>
  <si>
    <t>Afstand hart blok - hart makelaar</t>
  </si>
  <si>
    <t>Giek uiteinde</t>
  </si>
  <si>
    <t>X t.o.v. spil</t>
  </si>
  <si>
    <t>Y t.o.v. spil</t>
  </si>
  <si>
    <t>X blok t.o.v. spil</t>
  </si>
  <si>
    <t>Y blok t.o.v. spil</t>
  </si>
  <si>
    <t>hoogte blok</t>
  </si>
  <si>
    <t xml:space="preserve">Makelaar </t>
  </si>
  <si>
    <t>Y blok</t>
  </si>
  <si>
    <t>Te lood + uitgeschoven</t>
  </si>
  <si>
    <t>Verplaatsing x</t>
  </si>
  <si>
    <t>x</t>
  </si>
  <si>
    <t>y</t>
  </si>
  <si>
    <t>Verplaatsing y</t>
  </si>
  <si>
    <t>makelaar, op x-hoogte hart blok</t>
  </si>
  <si>
    <t>makelaar, op y-hoogte hart blok</t>
  </si>
  <si>
    <t>Toename X, o.b.v positie blok tov makelaar</t>
  </si>
  <si>
    <t>Afname Y, o.b.v positie blok tov makelaar</t>
  </si>
  <si>
    <t>Toename Y, o.b.v positie blok tov makelaar</t>
  </si>
  <si>
    <t>kg</t>
  </si>
  <si>
    <t>Q-last schotten</t>
  </si>
  <si>
    <r>
      <t>kN/m</t>
    </r>
    <r>
      <rPr>
        <vertAlign val="superscript"/>
        <sz val="11"/>
        <color theme="1"/>
        <rFont val="Calibri"/>
        <family val="2"/>
        <scheme val="minor"/>
      </rPr>
      <t>2</t>
    </r>
  </si>
  <si>
    <t>Breedte rups</t>
  </si>
  <si>
    <t>Algemeen wind</t>
  </si>
  <si>
    <t>Winddruk</t>
  </si>
  <si>
    <t>Rekentabel volgens boek 'Begaanbaarheid van bouwterreinen'</t>
  </si>
  <si>
    <r>
      <t>V</t>
    </r>
    <r>
      <rPr>
        <vertAlign val="subscript"/>
        <sz val="11"/>
        <color theme="1"/>
        <rFont val="Calibri"/>
        <family val="2"/>
        <scheme val="minor"/>
      </rPr>
      <t>rep</t>
    </r>
  </si>
  <si>
    <r>
      <t>H</t>
    </r>
    <r>
      <rPr>
        <vertAlign val="subscript"/>
        <sz val="11"/>
        <color theme="1"/>
        <rFont val="Calibri"/>
        <family val="2"/>
        <scheme val="minor"/>
      </rPr>
      <t>rep</t>
    </r>
  </si>
  <si>
    <t>Verticaal</t>
  </si>
  <si>
    <t>Horizontaal</t>
  </si>
  <si>
    <r>
      <t>A</t>
    </r>
    <r>
      <rPr>
        <vertAlign val="subscript"/>
        <sz val="11"/>
        <color theme="1"/>
        <rFont val="Calibri"/>
        <family val="2"/>
        <scheme val="minor"/>
      </rPr>
      <t>wind;eff;//</t>
    </r>
  </si>
  <si>
    <r>
      <t>A</t>
    </r>
    <r>
      <rPr>
        <vertAlign val="subscript"/>
        <sz val="11"/>
        <color theme="1"/>
        <rFont val="Calibri"/>
        <family val="2"/>
        <scheme val="minor"/>
      </rPr>
      <t>wind;eff;^</t>
    </r>
  </si>
  <si>
    <t>Cf</t>
  </si>
  <si>
    <t>-</t>
  </si>
  <si>
    <t>e</t>
  </si>
  <si>
    <r>
      <t>V</t>
    </r>
    <r>
      <rPr>
        <vertAlign val="subscript"/>
        <sz val="11"/>
        <color theme="1"/>
        <rFont val="Calibri"/>
        <family val="2"/>
        <scheme val="minor"/>
      </rPr>
      <t>d</t>
    </r>
  </si>
  <si>
    <r>
      <t>H</t>
    </r>
    <r>
      <rPr>
        <vertAlign val="subscript"/>
        <sz val="11"/>
        <color theme="1"/>
        <rFont val="Calibri"/>
        <family val="2"/>
        <scheme val="minor"/>
      </rPr>
      <t>d;//</t>
    </r>
  </si>
  <si>
    <r>
      <t>H</t>
    </r>
    <r>
      <rPr>
        <vertAlign val="subscript"/>
        <sz val="11"/>
        <color theme="1"/>
        <rFont val="Calibri"/>
        <family val="2"/>
        <scheme val="minor"/>
      </rPr>
      <t>d;^</t>
    </r>
  </si>
  <si>
    <r>
      <t>M</t>
    </r>
    <r>
      <rPr>
        <vertAlign val="subscript"/>
        <sz val="11"/>
        <color theme="1"/>
        <rFont val="Calibri"/>
        <family val="2"/>
        <scheme val="minor"/>
      </rPr>
      <t>d;Vd</t>
    </r>
  </si>
  <si>
    <r>
      <t>M</t>
    </r>
    <r>
      <rPr>
        <vertAlign val="subscript"/>
        <sz val="11"/>
        <color theme="1"/>
        <rFont val="Calibri"/>
        <family val="2"/>
        <scheme val="minor"/>
      </rPr>
      <t>d;Hd//</t>
    </r>
  </si>
  <si>
    <r>
      <t>M</t>
    </r>
    <r>
      <rPr>
        <vertAlign val="subscript"/>
        <sz val="11"/>
        <color theme="1"/>
        <rFont val="Calibri"/>
        <family val="2"/>
        <scheme val="minor"/>
      </rPr>
      <t>d;H^</t>
    </r>
  </si>
  <si>
    <t>Damwand</t>
  </si>
  <si>
    <t>Buispaal</t>
  </si>
  <si>
    <t>Prefab Paal</t>
  </si>
  <si>
    <t>Last / Element</t>
  </si>
  <si>
    <t xml:space="preserve">BEREKENINGEN MAKELAAR </t>
  </si>
  <si>
    <t>BEREKENINGEN POSITIE BLOK</t>
  </si>
  <si>
    <t>BEREKENINGEN POSITIE LAST/ELEMENT</t>
  </si>
  <si>
    <t>kNm</t>
  </si>
  <si>
    <t>Totaal</t>
  </si>
  <si>
    <t>Geen</t>
  </si>
  <si>
    <t>Schuine reeptrek</t>
  </si>
  <si>
    <t>Last in Giek/Makelaar</t>
  </si>
  <si>
    <t>Hoek t.o.v. horizontaal</t>
  </si>
  <si>
    <t>Ylast t.o.v. spil</t>
  </si>
  <si>
    <t>o.k, blok</t>
  </si>
  <si>
    <t>Lengte element</t>
  </si>
  <si>
    <r>
      <t>M</t>
    </r>
    <r>
      <rPr>
        <vertAlign val="subscript"/>
        <sz val="11"/>
        <color theme="1"/>
        <rFont val="Calibri"/>
        <family val="2"/>
        <scheme val="minor"/>
      </rPr>
      <t>d</t>
    </r>
    <r>
      <rPr>
        <sz val="11"/>
        <color theme="1"/>
        <rFont val="Calibri"/>
        <family val="2"/>
        <scheme val="minor"/>
      </rPr>
      <t xml:space="preserve"> =</t>
    </r>
  </si>
  <si>
    <r>
      <t>H</t>
    </r>
    <r>
      <rPr>
        <vertAlign val="subscript"/>
        <sz val="11"/>
        <color theme="1"/>
        <rFont val="Calibri"/>
        <family val="2"/>
        <scheme val="minor"/>
      </rPr>
      <t>d</t>
    </r>
    <r>
      <rPr>
        <sz val="11"/>
        <color theme="1"/>
        <rFont val="Calibri"/>
        <family val="2"/>
        <scheme val="minor"/>
      </rPr>
      <t xml:space="preserve"> =</t>
    </r>
  </si>
  <si>
    <r>
      <t>e</t>
    </r>
    <r>
      <rPr>
        <vertAlign val="subscript"/>
        <sz val="11"/>
        <color theme="1"/>
        <rFont val="Calibri"/>
        <family val="2"/>
        <scheme val="minor"/>
      </rPr>
      <t>CoG;x</t>
    </r>
    <r>
      <rPr>
        <sz val="11"/>
        <color theme="1"/>
        <rFont val="Calibri"/>
        <family val="2"/>
        <scheme val="minor"/>
      </rPr>
      <t xml:space="preserve"> =</t>
    </r>
  </si>
  <si>
    <r>
      <t>e</t>
    </r>
    <r>
      <rPr>
        <vertAlign val="subscript"/>
        <sz val="11"/>
        <color theme="1"/>
        <rFont val="Calibri"/>
        <family val="2"/>
        <scheme val="minor"/>
      </rPr>
      <t>CoG;y</t>
    </r>
    <r>
      <rPr>
        <sz val="11"/>
        <color theme="1"/>
        <rFont val="Calibri"/>
        <family val="2"/>
        <scheme val="minor"/>
      </rPr>
      <t xml:space="preserve"> =</t>
    </r>
  </si>
  <si>
    <r>
      <t>e</t>
    </r>
    <r>
      <rPr>
        <vertAlign val="subscript"/>
        <sz val="11"/>
        <color theme="1"/>
        <rFont val="Calibri"/>
        <family val="2"/>
        <scheme val="minor"/>
      </rPr>
      <t>CoG</t>
    </r>
    <r>
      <rPr>
        <sz val="11"/>
        <color theme="1"/>
        <rFont val="Calibri"/>
        <family val="2"/>
        <scheme val="minor"/>
      </rPr>
      <t xml:space="preserve"> =</t>
    </r>
  </si>
  <si>
    <r>
      <t>√((M</t>
    </r>
    <r>
      <rPr>
        <vertAlign val="subscript"/>
        <sz val="11"/>
        <color theme="1"/>
        <rFont val="Calibri"/>
        <family val="2"/>
      </rPr>
      <t>d;v</t>
    </r>
    <r>
      <rPr>
        <sz val="11"/>
        <color theme="1"/>
        <rFont val="Calibri"/>
        <family val="2"/>
      </rPr>
      <t>+M</t>
    </r>
    <r>
      <rPr>
        <vertAlign val="subscript"/>
        <sz val="11"/>
        <color theme="1"/>
        <rFont val="Calibri"/>
        <family val="2"/>
      </rPr>
      <t>d;//</t>
    </r>
    <r>
      <rPr>
        <sz val="11"/>
        <color theme="1"/>
        <rFont val="Calibri"/>
        <family val="2"/>
      </rPr>
      <t>)</t>
    </r>
    <r>
      <rPr>
        <vertAlign val="superscript"/>
        <sz val="11"/>
        <color theme="1"/>
        <rFont val="Calibri"/>
        <family val="2"/>
      </rPr>
      <t>2</t>
    </r>
    <r>
      <rPr>
        <sz val="11"/>
        <color theme="1"/>
        <rFont val="Calibri"/>
        <family val="2"/>
      </rPr>
      <t>+M</t>
    </r>
    <r>
      <rPr>
        <vertAlign val="subscript"/>
        <sz val="11"/>
        <color theme="1"/>
        <rFont val="Calibri"/>
        <family val="2"/>
      </rPr>
      <t>d;^</t>
    </r>
    <r>
      <rPr>
        <vertAlign val="superscript"/>
        <sz val="11"/>
        <color theme="1"/>
        <rFont val="Calibri"/>
        <family val="2"/>
      </rPr>
      <t>2</t>
    </r>
    <r>
      <rPr>
        <sz val="11"/>
        <color theme="1"/>
        <rFont val="Calibri"/>
        <family val="2"/>
      </rPr>
      <t>)</t>
    </r>
  </si>
  <si>
    <r>
      <t>√(H</t>
    </r>
    <r>
      <rPr>
        <vertAlign val="subscript"/>
        <sz val="11"/>
        <color theme="1"/>
        <rFont val="Calibri"/>
        <family val="2"/>
        <scheme val="minor"/>
      </rPr>
      <t>d;//</t>
    </r>
    <r>
      <rPr>
        <vertAlign val="superscript"/>
        <sz val="11"/>
        <color theme="1"/>
        <rFont val="Calibri"/>
        <family val="2"/>
        <scheme val="minor"/>
      </rPr>
      <t>2</t>
    </r>
    <r>
      <rPr>
        <sz val="11"/>
        <color theme="1"/>
        <rFont val="Calibri"/>
        <family val="2"/>
        <scheme val="minor"/>
      </rPr>
      <t>+H</t>
    </r>
    <r>
      <rPr>
        <vertAlign val="subscript"/>
        <sz val="11"/>
        <color theme="1"/>
        <rFont val="Calibri"/>
        <family val="2"/>
        <scheme val="minor"/>
      </rPr>
      <t>d;^</t>
    </r>
    <r>
      <rPr>
        <vertAlign val="superscript"/>
        <sz val="11"/>
        <color theme="1"/>
        <rFont val="Calibri"/>
        <family val="2"/>
        <scheme val="minor"/>
      </rPr>
      <t>2</t>
    </r>
    <r>
      <rPr>
        <sz val="11"/>
        <color theme="1"/>
        <rFont val="Calibri"/>
        <family val="2"/>
        <scheme val="minor"/>
      </rPr>
      <t>)</t>
    </r>
  </si>
  <si>
    <r>
      <rPr>
        <sz val="11"/>
        <color theme="1"/>
        <rFont val="Calibri"/>
        <family val="2"/>
      </rPr>
      <t>ΣV</t>
    </r>
    <r>
      <rPr>
        <vertAlign val="subscript"/>
        <sz val="11"/>
        <color theme="1"/>
        <rFont val="Calibri"/>
        <family val="2"/>
      </rPr>
      <t>d</t>
    </r>
  </si>
  <si>
    <r>
      <t>ΣH</t>
    </r>
    <r>
      <rPr>
        <vertAlign val="subscript"/>
        <sz val="11"/>
        <color theme="1"/>
        <rFont val="Calibri"/>
        <family val="2"/>
      </rPr>
      <t>d;//</t>
    </r>
  </si>
  <si>
    <r>
      <t>ΣH</t>
    </r>
    <r>
      <rPr>
        <vertAlign val="subscript"/>
        <sz val="11"/>
        <color theme="1"/>
        <rFont val="Calibri"/>
        <family val="2"/>
      </rPr>
      <t>d;^</t>
    </r>
  </si>
  <si>
    <r>
      <t>ΣM</t>
    </r>
    <r>
      <rPr>
        <vertAlign val="subscript"/>
        <sz val="11"/>
        <color theme="1"/>
        <rFont val="Calibri"/>
        <family val="2"/>
      </rPr>
      <t>d;Vd</t>
    </r>
  </si>
  <si>
    <r>
      <t>ΣM</t>
    </r>
    <r>
      <rPr>
        <vertAlign val="subscript"/>
        <sz val="11"/>
        <color theme="1"/>
        <rFont val="Calibri"/>
        <family val="2"/>
      </rPr>
      <t>d;Hd//</t>
    </r>
  </si>
  <si>
    <r>
      <t>ΣM</t>
    </r>
    <r>
      <rPr>
        <vertAlign val="subscript"/>
        <sz val="11"/>
        <color theme="1"/>
        <rFont val="Calibri"/>
        <family val="2"/>
      </rPr>
      <t>d;Hd;^</t>
    </r>
  </si>
  <si>
    <r>
      <t>(ΣM</t>
    </r>
    <r>
      <rPr>
        <vertAlign val="subscript"/>
        <sz val="11"/>
        <color theme="1"/>
        <rFont val="Calibri"/>
        <family val="2"/>
        <scheme val="minor"/>
      </rPr>
      <t>d;Vd</t>
    </r>
    <r>
      <rPr>
        <sz val="11"/>
        <color theme="1"/>
        <rFont val="Calibri"/>
        <family val="2"/>
        <scheme val="minor"/>
      </rPr>
      <t xml:space="preserve"> + ΣM</t>
    </r>
    <r>
      <rPr>
        <vertAlign val="subscript"/>
        <sz val="11"/>
        <color theme="1"/>
        <rFont val="Calibri"/>
        <family val="2"/>
        <scheme val="minor"/>
      </rPr>
      <t>d;Hd//</t>
    </r>
    <r>
      <rPr>
        <sz val="11"/>
        <color theme="1"/>
        <rFont val="Calibri"/>
        <family val="2"/>
        <scheme val="minor"/>
      </rPr>
      <t>) / ΣV</t>
    </r>
    <r>
      <rPr>
        <vertAlign val="subscript"/>
        <sz val="11"/>
        <color theme="1"/>
        <rFont val="Calibri"/>
        <family val="2"/>
        <scheme val="minor"/>
      </rPr>
      <t>d</t>
    </r>
  </si>
  <si>
    <r>
      <t>ΣM</t>
    </r>
    <r>
      <rPr>
        <vertAlign val="subscript"/>
        <sz val="11"/>
        <color theme="1"/>
        <rFont val="Calibri"/>
        <family val="2"/>
      </rPr>
      <t>d;Hd;^</t>
    </r>
    <r>
      <rPr>
        <sz val="11"/>
        <color theme="1"/>
        <rFont val="Calibri"/>
        <family val="2"/>
      </rPr>
      <t xml:space="preserve"> / ΣV</t>
    </r>
    <r>
      <rPr>
        <vertAlign val="subscript"/>
        <sz val="11"/>
        <color theme="1"/>
        <rFont val="Calibri"/>
        <family val="2"/>
      </rPr>
      <t>d</t>
    </r>
  </si>
  <si>
    <r>
      <t>√(e</t>
    </r>
    <r>
      <rPr>
        <vertAlign val="subscript"/>
        <sz val="11"/>
        <color theme="1"/>
        <rFont val="Calibri"/>
        <family val="2"/>
      </rPr>
      <t>CoG;x</t>
    </r>
    <r>
      <rPr>
        <vertAlign val="superscript"/>
        <sz val="11"/>
        <color theme="1"/>
        <rFont val="Calibri"/>
        <family val="2"/>
      </rPr>
      <t>2</t>
    </r>
    <r>
      <rPr>
        <sz val="11"/>
        <color theme="1"/>
        <rFont val="Calibri"/>
        <family val="2"/>
      </rPr>
      <t xml:space="preserve"> + e</t>
    </r>
    <r>
      <rPr>
        <vertAlign val="subscript"/>
        <sz val="11"/>
        <color theme="1"/>
        <rFont val="Calibri"/>
        <family val="2"/>
      </rPr>
      <t>CoG;y</t>
    </r>
    <r>
      <rPr>
        <vertAlign val="superscript"/>
        <sz val="11"/>
        <color theme="1"/>
        <rFont val="Calibri"/>
        <family val="2"/>
      </rPr>
      <t>2</t>
    </r>
    <r>
      <rPr>
        <sz val="11"/>
        <color theme="1"/>
        <rFont val="Calibri"/>
        <family val="2"/>
      </rPr>
      <t>)</t>
    </r>
  </si>
  <si>
    <t>Kranen haaks op schotten</t>
  </si>
  <si>
    <t>Vd</t>
  </si>
  <si>
    <t>Lengte schot</t>
  </si>
  <si>
    <t>Breedte schot</t>
  </si>
  <si>
    <t>Hart machine - hart schotten</t>
  </si>
  <si>
    <t>Rotatie bovenwagen</t>
  </si>
  <si>
    <r>
      <t>L</t>
    </r>
    <r>
      <rPr>
        <vertAlign val="subscript"/>
        <sz val="11"/>
        <color theme="1"/>
        <rFont val="Calibri"/>
        <family val="2"/>
        <scheme val="minor"/>
      </rPr>
      <t>rups</t>
    </r>
    <r>
      <rPr>
        <sz val="11"/>
        <color theme="1"/>
        <rFont val="Calibri"/>
        <family val="2"/>
        <scheme val="minor"/>
      </rPr>
      <t xml:space="preserve"> -2 × e</t>
    </r>
    <r>
      <rPr>
        <vertAlign val="subscript"/>
        <sz val="11"/>
        <color theme="1"/>
        <rFont val="Calibri"/>
        <family val="2"/>
        <scheme val="minor"/>
      </rPr>
      <t>CoG</t>
    </r>
    <r>
      <rPr>
        <sz val="11"/>
        <color theme="1"/>
        <rFont val="Calibri"/>
        <family val="2"/>
        <scheme val="minor"/>
      </rPr>
      <t xml:space="preserve"> cos</t>
    </r>
    <r>
      <rPr>
        <sz val="11"/>
        <color theme="1"/>
        <rFont val="Calibri"/>
        <family val="2"/>
      </rPr>
      <t>δ</t>
    </r>
  </si>
  <si>
    <t>B' =</t>
  </si>
  <si>
    <t>L' =</t>
  </si>
  <si>
    <r>
      <t>L</t>
    </r>
    <r>
      <rPr>
        <vertAlign val="subscript"/>
        <sz val="11"/>
        <color theme="1"/>
        <rFont val="Calibri"/>
        <family val="2"/>
        <scheme val="minor"/>
      </rPr>
      <t>schot</t>
    </r>
    <r>
      <rPr>
        <sz val="11"/>
        <color theme="1"/>
        <rFont val="Calibri"/>
        <family val="2"/>
        <scheme val="minor"/>
      </rPr>
      <t xml:space="preserve"> - 2 × e</t>
    </r>
    <r>
      <rPr>
        <vertAlign val="subscript"/>
        <sz val="11"/>
        <color theme="1"/>
        <rFont val="Calibri"/>
        <family val="2"/>
        <scheme val="minor"/>
      </rPr>
      <t xml:space="preserve">schot </t>
    </r>
    <r>
      <rPr>
        <sz val="11"/>
        <color theme="1"/>
        <rFont val="Calibri"/>
        <family val="2"/>
        <scheme val="minor"/>
      </rPr>
      <t>- 2 × e</t>
    </r>
    <r>
      <rPr>
        <vertAlign val="subscript"/>
        <sz val="11"/>
        <color theme="1"/>
        <rFont val="Calibri"/>
        <family val="2"/>
        <scheme val="minor"/>
      </rPr>
      <t>CoG</t>
    </r>
    <r>
      <rPr>
        <sz val="11"/>
        <color theme="1"/>
        <rFont val="Calibri"/>
        <family val="2"/>
        <scheme val="minor"/>
      </rPr>
      <t xml:space="preserve"> sin</t>
    </r>
    <r>
      <rPr>
        <sz val="11"/>
        <color theme="1"/>
        <rFont val="Calibri"/>
        <family val="2"/>
      </rPr>
      <t>δ</t>
    </r>
  </si>
  <si>
    <r>
      <t>e</t>
    </r>
    <r>
      <rPr>
        <vertAlign val="subscript"/>
        <sz val="11"/>
        <color theme="1"/>
        <rFont val="Calibri"/>
        <family val="2"/>
        <scheme val="minor"/>
      </rPr>
      <t>schot</t>
    </r>
  </si>
  <si>
    <t>A' =</t>
  </si>
  <si>
    <t>B' × L'</t>
  </si>
  <si>
    <t>Overzichtstabel belastingen en funderingsoppervlak</t>
  </si>
  <si>
    <r>
      <t>e</t>
    </r>
    <r>
      <rPr>
        <vertAlign val="subscript"/>
        <sz val="10"/>
        <rFont val="Arial"/>
        <family val="2"/>
      </rPr>
      <t>CoG;x</t>
    </r>
    <r>
      <rPr>
        <sz val="10"/>
        <rFont val="Arial"/>
        <family val="2"/>
      </rPr>
      <t xml:space="preserve"> = (</t>
    </r>
    <r>
      <rPr>
        <sz val="10"/>
        <rFont val="Symbol"/>
        <family val="1"/>
        <charset val="2"/>
      </rPr>
      <t>å</t>
    </r>
    <r>
      <rPr>
        <sz val="10"/>
        <rFont val="Arial"/>
        <family val="2"/>
      </rPr>
      <t>V</t>
    </r>
    <r>
      <rPr>
        <vertAlign val="subscript"/>
        <sz val="10"/>
        <rFont val="Arial"/>
        <family val="2"/>
      </rPr>
      <t>i</t>
    </r>
    <r>
      <rPr>
        <sz val="10"/>
        <rFont val="Arial"/>
        <family val="2"/>
      </rPr>
      <t>*e</t>
    </r>
    <r>
      <rPr>
        <vertAlign val="subscript"/>
        <sz val="10"/>
        <rFont val="Arial"/>
        <family val="2"/>
      </rPr>
      <t xml:space="preserve">i </t>
    </r>
    <r>
      <rPr>
        <sz val="10"/>
        <rFont val="Arial"/>
        <family val="2"/>
      </rPr>
      <t xml:space="preserve">+ </t>
    </r>
    <r>
      <rPr>
        <sz val="10"/>
        <rFont val="Symbol"/>
        <family val="1"/>
        <charset val="2"/>
      </rPr>
      <t>å</t>
    </r>
    <r>
      <rPr>
        <sz val="10"/>
        <rFont val="Arial"/>
        <family val="2"/>
      </rPr>
      <t>H</t>
    </r>
    <r>
      <rPr>
        <vertAlign val="subscript"/>
        <sz val="10"/>
        <rFont val="Arial"/>
        <family val="2"/>
      </rPr>
      <t xml:space="preserve">i </t>
    </r>
    <r>
      <rPr>
        <sz val="10"/>
        <rFont val="Arial"/>
        <family val="2"/>
      </rPr>
      <t>* e) / V</t>
    </r>
    <r>
      <rPr>
        <vertAlign val="subscript"/>
        <sz val="10"/>
        <rFont val="Arial"/>
        <family val="2"/>
      </rPr>
      <t>i</t>
    </r>
  </si>
  <si>
    <r>
      <t>e</t>
    </r>
    <r>
      <rPr>
        <vertAlign val="subscript"/>
        <sz val="10"/>
        <rFont val="Arial"/>
        <family val="2"/>
      </rPr>
      <t>CoG;y</t>
    </r>
    <r>
      <rPr>
        <sz val="10"/>
        <rFont val="Arial"/>
        <family val="2"/>
      </rPr>
      <t xml:space="preserve"> = (</t>
    </r>
    <r>
      <rPr>
        <sz val="10"/>
        <rFont val="Symbol"/>
        <family val="1"/>
        <charset val="2"/>
      </rPr>
      <t>å</t>
    </r>
    <r>
      <rPr>
        <sz val="10"/>
        <rFont val="Arial"/>
        <family val="2"/>
      </rPr>
      <t>H</t>
    </r>
    <r>
      <rPr>
        <vertAlign val="subscript"/>
        <sz val="10"/>
        <rFont val="Arial"/>
        <family val="2"/>
      </rPr>
      <t xml:space="preserve">i </t>
    </r>
    <r>
      <rPr>
        <sz val="10"/>
        <rFont val="Arial"/>
        <family val="2"/>
      </rPr>
      <t>* e) / V</t>
    </r>
    <r>
      <rPr>
        <vertAlign val="subscript"/>
        <sz val="10"/>
        <rFont val="Arial"/>
        <family val="2"/>
      </rPr>
      <t>i</t>
    </r>
  </si>
  <si>
    <r>
      <t>e</t>
    </r>
    <r>
      <rPr>
        <vertAlign val="subscript"/>
        <sz val="10"/>
        <rFont val="Arial"/>
        <family val="2"/>
      </rPr>
      <t>CoG</t>
    </r>
    <r>
      <rPr>
        <sz val="10"/>
        <rFont val="Arial"/>
        <family val="2"/>
      </rPr>
      <t xml:space="preserve"> = </t>
    </r>
    <r>
      <rPr>
        <sz val="10"/>
        <rFont val="Calibri"/>
        <family val="2"/>
      </rPr>
      <t>√(e</t>
    </r>
    <r>
      <rPr>
        <vertAlign val="subscript"/>
        <sz val="10"/>
        <rFont val="Calibri"/>
        <family val="2"/>
      </rPr>
      <t>CoG;x</t>
    </r>
    <r>
      <rPr>
        <sz val="10"/>
        <rFont val="Calibri"/>
        <family val="2"/>
      </rPr>
      <t>² + e</t>
    </r>
    <r>
      <rPr>
        <vertAlign val="subscript"/>
        <sz val="10"/>
        <rFont val="Calibri"/>
        <family val="2"/>
      </rPr>
      <t>CoG;y</t>
    </r>
    <r>
      <rPr>
        <sz val="10"/>
        <rFont val="Calibri"/>
        <family val="2"/>
      </rPr>
      <t>²)</t>
    </r>
  </si>
  <si>
    <r>
      <t>Verticale belasting V</t>
    </r>
    <r>
      <rPr>
        <vertAlign val="subscript"/>
        <sz val="10"/>
        <rFont val="Arial"/>
        <family val="2"/>
      </rPr>
      <t>d</t>
    </r>
  </si>
  <si>
    <r>
      <t>Horizontale belasting H</t>
    </r>
    <r>
      <rPr>
        <vertAlign val="subscript"/>
        <sz val="10"/>
        <rFont val="Arial"/>
        <family val="2"/>
      </rPr>
      <t>d</t>
    </r>
  </si>
  <si>
    <r>
      <t>Kantelmoment M</t>
    </r>
    <r>
      <rPr>
        <vertAlign val="subscript"/>
        <sz val="10"/>
        <rFont val="Arial"/>
        <family val="2"/>
      </rPr>
      <t>d</t>
    </r>
  </si>
  <si>
    <t>Effectieve funderingslengte L'</t>
  </si>
  <si>
    <t>Effectieve funderingsbreedte B'</t>
  </si>
  <si>
    <t>Effectief funderingsoppervlak A'</t>
  </si>
  <si>
    <t>Rekenwaarde gronddruk</t>
  </si>
  <si>
    <t>Rekenwaarde gronddruk t.g.v. kraan</t>
  </si>
  <si>
    <t>Rekenwaarde gronddruk t.g.v. schotten</t>
  </si>
  <si>
    <t>Berekening funderingsoppervlak</t>
  </si>
  <si>
    <t>Grondopbouw</t>
  </si>
  <si>
    <t>Aanvulling</t>
  </si>
  <si>
    <t>Grondsoort</t>
  </si>
  <si>
    <t>Bovenkant Laag</t>
  </si>
  <si>
    <t>Onderkant Laag</t>
  </si>
  <si>
    <t>hoogte</t>
  </si>
  <si>
    <t>γ</t>
  </si>
  <si>
    <r>
      <rPr>
        <sz val="10"/>
        <rFont val="Calibri"/>
        <family val="2"/>
      </rPr>
      <t>γ</t>
    </r>
    <r>
      <rPr>
        <vertAlign val="subscript"/>
        <sz val="10"/>
        <rFont val="Arial"/>
        <family val="2"/>
      </rPr>
      <t>sat</t>
    </r>
  </si>
  <si>
    <r>
      <t>σ</t>
    </r>
    <r>
      <rPr>
        <vertAlign val="subscript"/>
        <sz val="10"/>
        <rFont val="Arial"/>
        <family val="2"/>
      </rPr>
      <t>water</t>
    </r>
  </si>
  <si>
    <r>
      <t>σ</t>
    </r>
    <r>
      <rPr>
        <vertAlign val="subscript"/>
        <sz val="10"/>
        <rFont val="Arial"/>
        <family val="2"/>
      </rPr>
      <t>grond</t>
    </r>
  </si>
  <si>
    <r>
      <t>σ'</t>
    </r>
    <r>
      <rPr>
        <vertAlign val="subscript"/>
        <sz val="10"/>
        <rFont val="Arial"/>
        <family val="2"/>
      </rPr>
      <t>v</t>
    </r>
  </si>
  <si>
    <r>
      <rPr>
        <sz val="10"/>
        <rFont val="Calibri"/>
        <family val="2"/>
      </rPr>
      <t>ϕ</t>
    </r>
    <r>
      <rPr>
        <sz val="10"/>
        <rFont val="Arial"/>
        <family val="2"/>
      </rPr>
      <t>'</t>
    </r>
    <r>
      <rPr>
        <vertAlign val="subscript"/>
        <sz val="10"/>
        <rFont val="Arial"/>
        <family val="2"/>
      </rPr>
      <t>rep</t>
    </r>
  </si>
  <si>
    <r>
      <t>c'</t>
    </r>
    <r>
      <rPr>
        <vertAlign val="subscript"/>
        <sz val="10"/>
        <rFont val="Arial"/>
        <family val="2"/>
      </rPr>
      <t>rep</t>
    </r>
  </si>
  <si>
    <r>
      <t>c</t>
    </r>
    <r>
      <rPr>
        <vertAlign val="subscript"/>
        <sz val="10"/>
        <rFont val="Arial"/>
        <family val="2"/>
      </rPr>
      <t>u;rep</t>
    </r>
  </si>
  <si>
    <r>
      <rPr>
        <sz val="10"/>
        <rFont val="Calibri"/>
        <family val="2"/>
      </rPr>
      <t>ϕ</t>
    </r>
    <r>
      <rPr>
        <sz val="10"/>
        <rFont val="Arial"/>
        <family val="2"/>
      </rPr>
      <t>'</t>
    </r>
    <r>
      <rPr>
        <vertAlign val="subscript"/>
        <sz val="10"/>
        <rFont val="Arial"/>
        <family val="2"/>
      </rPr>
      <t>rep;gem</t>
    </r>
  </si>
  <si>
    <t>m tov NAP</t>
  </si>
  <si>
    <r>
      <t>kN/m</t>
    </r>
    <r>
      <rPr>
        <vertAlign val="superscript"/>
        <sz val="10"/>
        <rFont val="Arial"/>
        <family val="2"/>
      </rPr>
      <t>3</t>
    </r>
  </si>
  <si>
    <r>
      <t>kN/m</t>
    </r>
    <r>
      <rPr>
        <vertAlign val="superscript"/>
        <sz val="10"/>
        <rFont val="Arial"/>
        <family val="2"/>
      </rPr>
      <t>2</t>
    </r>
  </si>
  <si>
    <t>Zand</t>
  </si>
  <si>
    <t>Klei</t>
  </si>
  <si>
    <t>Veen</t>
  </si>
  <si>
    <t>BEREKENING REKENWAARDES</t>
  </si>
  <si>
    <r>
      <rPr>
        <sz val="10"/>
        <rFont val="Calibri"/>
        <family val="2"/>
      </rPr>
      <t>ϕ</t>
    </r>
    <r>
      <rPr>
        <sz val="10"/>
        <rFont val="Arial"/>
        <family val="2"/>
      </rPr>
      <t>'</t>
    </r>
    <r>
      <rPr>
        <vertAlign val="subscript"/>
        <sz val="10"/>
        <rFont val="Arial"/>
        <family val="2"/>
      </rPr>
      <t>d</t>
    </r>
  </si>
  <si>
    <r>
      <t>c'</t>
    </r>
    <r>
      <rPr>
        <vertAlign val="subscript"/>
        <sz val="10"/>
        <rFont val="Arial"/>
        <family val="2"/>
      </rPr>
      <t>d</t>
    </r>
  </si>
  <si>
    <r>
      <t>c</t>
    </r>
    <r>
      <rPr>
        <vertAlign val="subscript"/>
        <sz val="10"/>
        <rFont val="Arial"/>
        <family val="2"/>
      </rPr>
      <t>u;d</t>
    </r>
  </si>
  <si>
    <t>Toetsingslaag b.k.</t>
  </si>
  <si>
    <t>Maaiveld</t>
  </si>
  <si>
    <t>GWS</t>
  </si>
  <si>
    <t>Geponst gedraineerd</t>
  </si>
  <si>
    <t>Coh. Laag</t>
  </si>
  <si>
    <t>dphi</t>
  </si>
  <si>
    <t>Controle?</t>
  </si>
  <si>
    <t xml:space="preserve">Grind </t>
  </si>
  <si>
    <t>Klei st. zandig</t>
  </si>
  <si>
    <t>Klei zw. zandig</t>
  </si>
  <si>
    <t>Leem</t>
  </si>
  <si>
    <t>GEDRAINEERD: Berekening gewogen gemiddeldes hoek van inwendige wrijving, cohesie en volumiek gewicht</t>
  </si>
  <si>
    <t>Berekening na Ze</t>
  </si>
  <si>
    <t>h</t>
  </si>
  <si>
    <t>h tov Ze</t>
  </si>
  <si>
    <r>
      <rPr>
        <sz val="10"/>
        <rFont val="Calibri"/>
        <family val="2"/>
      </rPr>
      <t>ϕ</t>
    </r>
    <r>
      <rPr>
        <sz val="10"/>
        <rFont val="Arial"/>
        <family val="2"/>
      </rPr>
      <t>'</t>
    </r>
    <r>
      <rPr>
        <vertAlign val="subscript"/>
        <sz val="10"/>
        <rFont val="Arial"/>
        <family val="2"/>
      </rPr>
      <t>gem;rep</t>
    </r>
  </si>
  <si>
    <r>
      <t>c'</t>
    </r>
    <r>
      <rPr>
        <vertAlign val="subscript"/>
        <sz val="10"/>
        <rFont val="Arial"/>
        <family val="2"/>
      </rPr>
      <t>gem;rep</t>
    </r>
  </si>
  <si>
    <r>
      <rPr>
        <sz val="10"/>
        <rFont val="Calibri"/>
        <family val="2"/>
      </rPr>
      <t>ϕ</t>
    </r>
    <r>
      <rPr>
        <sz val="10"/>
        <rFont val="Arial"/>
        <family val="2"/>
      </rPr>
      <t>'</t>
    </r>
    <r>
      <rPr>
        <vertAlign val="subscript"/>
        <sz val="10"/>
        <rFont val="Arial"/>
        <family val="2"/>
      </rPr>
      <t>gem;d</t>
    </r>
  </si>
  <si>
    <r>
      <t>c'</t>
    </r>
    <r>
      <rPr>
        <vertAlign val="subscript"/>
        <sz val="10"/>
        <rFont val="Arial"/>
        <family val="2"/>
      </rPr>
      <t>gem;d</t>
    </r>
  </si>
  <si>
    <t>yd</t>
  </si>
  <si>
    <t>ysat;d-yw</t>
  </si>
  <si>
    <t>y'gem;d</t>
  </si>
  <si>
    <t>GEPONST GEDRAINEERD: Berekening gewogen gemiddeldes hoe van inwendige wrijving, cohesie en volumiek gewicht</t>
  </si>
  <si>
    <t>phi</t>
  </si>
  <si>
    <t>c</t>
  </si>
  <si>
    <t>ynat</t>
  </si>
  <si>
    <t>y'gemd</t>
  </si>
  <si>
    <t>h+</t>
  </si>
  <si>
    <t>h-</t>
  </si>
  <si>
    <t>c'gem;d</t>
  </si>
  <si>
    <t>c rep</t>
  </si>
  <si>
    <t>c d</t>
  </si>
  <si>
    <t>m t.o.v. NAP</t>
  </si>
  <si>
    <t>Algemene rekengegevens</t>
  </si>
  <si>
    <t>Gedraineerd</t>
  </si>
  <si>
    <r>
      <t>V</t>
    </r>
    <r>
      <rPr>
        <vertAlign val="subscript"/>
        <sz val="11"/>
        <color theme="1"/>
        <rFont val="Calibri"/>
        <family val="2"/>
        <scheme val="minor"/>
      </rPr>
      <t>d</t>
    </r>
    <r>
      <rPr>
        <sz val="11"/>
        <color theme="1"/>
        <rFont val="Calibri"/>
        <family val="2"/>
        <scheme val="minor"/>
      </rPr>
      <t xml:space="preserve"> =</t>
    </r>
  </si>
  <si>
    <r>
      <t>H</t>
    </r>
    <r>
      <rPr>
        <vertAlign val="subscript"/>
        <sz val="11"/>
        <color theme="1"/>
        <rFont val="Calibri"/>
        <family val="2"/>
        <scheme val="minor"/>
      </rPr>
      <t>d</t>
    </r>
    <r>
      <rPr>
        <sz val="11"/>
        <color theme="1"/>
        <rFont val="Calibri"/>
        <family val="2"/>
        <scheme val="minor"/>
      </rPr>
      <t xml:space="preserve"> =</t>
    </r>
  </si>
  <si>
    <r>
      <t>H</t>
    </r>
    <r>
      <rPr>
        <vertAlign val="subscript"/>
        <sz val="11"/>
        <color theme="1"/>
        <rFont val="Calibri"/>
        <family val="2"/>
        <scheme val="minor"/>
      </rPr>
      <t>d</t>
    </r>
    <r>
      <rPr>
        <sz val="11"/>
        <color theme="1"/>
        <rFont val="Calibri"/>
        <family val="2"/>
        <scheme val="minor"/>
      </rPr>
      <t xml:space="preserve"> / V</t>
    </r>
    <r>
      <rPr>
        <vertAlign val="subscript"/>
        <sz val="11"/>
        <color theme="1"/>
        <rFont val="Calibri"/>
        <family val="2"/>
        <scheme val="minor"/>
      </rPr>
      <t>d</t>
    </r>
  </si>
  <si>
    <r>
      <t xml:space="preserve">Geschatte waarde </t>
    </r>
    <r>
      <rPr>
        <sz val="11"/>
        <color theme="1"/>
        <rFont val="Calibri"/>
        <family val="2"/>
      </rPr>
      <t>ϕ'</t>
    </r>
    <r>
      <rPr>
        <vertAlign val="subscript"/>
        <sz val="11"/>
        <color theme="1"/>
        <rFont val="Calibri"/>
        <family val="2"/>
      </rPr>
      <t>rep;gem</t>
    </r>
  </si>
  <si>
    <r>
      <t>Z</t>
    </r>
    <r>
      <rPr>
        <vertAlign val="subscript"/>
        <sz val="11"/>
        <color theme="1"/>
        <rFont val="Calibri"/>
        <family val="2"/>
        <scheme val="minor"/>
      </rPr>
      <t>e</t>
    </r>
    <r>
      <rPr>
        <sz val="11"/>
        <color theme="1"/>
        <rFont val="Calibri"/>
        <family val="2"/>
        <scheme val="minor"/>
      </rPr>
      <t>/b =</t>
    </r>
  </si>
  <si>
    <t>Geponst ongedraineerd</t>
  </si>
  <si>
    <t>H/V = 0</t>
  </si>
  <si>
    <t>H/V = 1</t>
  </si>
  <si>
    <t>H/V</t>
  </si>
  <si>
    <t>Ze/b'</t>
  </si>
  <si>
    <r>
      <rPr>
        <b/>
        <sz val="12"/>
        <rFont val="Calibri"/>
        <family val="2"/>
      </rPr>
      <t>ϕ</t>
    </r>
    <r>
      <rPr>
        <sz val="10"/>
        <rFont val="Arial"/>
        <family val="2"/>
      </rPr>
      <t>'gem;d</t>
    </r>
    <r>
      <rPr>
        <sz val="8"/>
        <rFont val="Arial"/>
        <family val="2"/>
      </rPr>
      <t xml:space="preserve"> </t>
    </r>
  </si>
  <si>
    <t>Nc</t>
  </si>
  <si>
    <t>Nq</t>
  </si>
  <si>
    <t>Ny'</t>
  </si>
  <si>
    <r>
      <t>Z</t>
    </r>
    <r>
      <rPr>
        <vertAlign val="subscript"/>
        <sz val="11"/>
        <color theme="1"/>
        <rFont val="Calibri"/>
        <family val="2"/>
        <scheme val="minor"/>
      </rPr>
      <t>e</t>
    </r>
    <r>
      <rPr>
        <sz val="11"/>
        <color theme="1"/>
        <rFont val="Calibri"/>
        <family val="2"/>
        <scheme val="minor"/>
      </rPr>
      <t xml:space="preserve"> =</t>
    </r>
  </si>
  <si>
    <t>Invloedsdiepte</t>
  </si>
  <si>
    <r>
      <rPr>
        <sz val="11"/>
        <color theme="1"/>
        <rFont val="Calibri"/>
        <family val="2"/>
      </rPr>
      <t>ϕ</t>
    </r>
    <r>
      <rPr>
        <sz val="9.35"/>
        <color theme="1"/>
        <rFont val="Calibri"/>
        <family val="2"/>
      </rPr>
      <t>'</t>
    </r>
    <r>
      <rPr>
        <vertAlign val="subscript"/>
        <sz val="11"/>
        <color theme="1"/>
        <rFont val="Calibri"/>
        <family val="2"/>
        <scheme val="minor"/>
      </rPr>
      <t>gem;rep</t>
    </r>
    <r>
      <rPr>
        <sz val="11"/>
        <color theme="1"/>
        <rFont val="Calibri"/>
        <family val="2"/>
        <scheme val="minor"/>
      </rPr>
      <t xml:space="preserve"> =</t>
    </r>
  </si>
  <si>
    <r>
      <rPr>
        <sz val="11"/>
        <color theme="1"/>
        <rFont val="Calibri"/>
        <family val="2"/>
      </rPr>
      <t>ϕ</t>
    </r>
    <r>
      <rPr>
        <sz val="9.35"/>
        <color theme="1"/>
        <rFont val="Calibri"/>
        <family val="2"/>
      </rPr>
      <t>'</t>
    </r>
    <r>
      <rPr>
        <vertAlign val="subscript"/>
        <sz val="11"/>
        <color theme="1"/>
        <rFont val="Calibri"/>
        <family val="2"/>
        <scheme val="minor"/>
      </rPr>
      <t>gem;d</t>
    </r>
    <r>
      <rPr>
        <sz val="11"/>
        <color theme="1"/>
        <rFont val="Calibri"/>
        <family val="2"/>
        <scheme val="minor"/>
      </rPr>
      <t xml:space="preserve"> =</t>
    </r>
  </si>
  <si>
    <r>
      <t>c'</t>
    </r>
    <r>
      <rPr>
        <vertAlign val="subscript"/>
        <sz val="11"/>
        <color theme="1"/>
        <rFont val="Calibri"/>
        <family val="2"/>
        <scheme val="minor"/>
      </rPr>
      <t>gem;d</t>
    </r>
    <r>
      <rPr>
        <sz val="11"/>
        <color theme="1"/>
        <rFont val="Calibri"/>
        <family val="2"/>
        <scheme val="minor"/>
      </rPr>
      <t xml:space="preserve"> =</t>
    </r>
  </si>
  <si>
    <r>
      <t>kN/m</t>
    </r>
    <r>
      <rPr>
        <vertAlign val="superscript"/>
        <sz val="11"/>
        <color theme="1"/>
        <rFont val="Calibri"/>
        <family val="2"/>
        <scheme val="minor"/>
      </rPr>
      <t>3</t>
    </r>
  </si>
  <si>
    <r>
      <rPr>
        <sz val="11"/>
        <color theme="1"/>
        <rFont val="Calibri"/>
        <family val="2"/>
      </rPr>
      <t>σ</t>
    </r>
    <r>
      <rPr>
        <sz val="9.35"/>
        <color theme="1"/>
        <rFont val="Calibri"/>
        <family val="2"/>
      </rPr>
      <t>'</t>
    </r>
    <r>
      <rPr>
        <vertAlign val="subscript"/>
        <sz val="11"/>
        <color theme="1"/>
        <rFont val="Calibri"/>
        <family val="2"/>
        <scheme val="minor"/>
      </rPr>
      <t>v;z;d</t>
    </r>
    <r>
      <rPr>
        <sz val="11"/>
        <color theme="1"/>
        <rFont val="Calibri"/>
        <family val="2"/>
        <scheme val="minor"/>
      </rPr>
      <t xml:space="preserve"> =</t>
    </r>
  </si>
  <si>
    <r>
      <t>b</t>
    </r>
    <r>
      <rPr>
        <vertAlign val="subscript"/>
        <sz val="11"/>
        <color theme="1"/>
        <rFont val="Calibri"/>
        <family val="2"/>
        <scheme val="minor"/>
      </rPr>
      <t>q</t>
    </r>
    <r>
      <rPr>
        <sz val="11"/>
        <color theme="1"/>
        <rFont val="Calibri"/>
        <family val="2"/>
        <scheme val="minor"/>
      </rPr>
      <t xml:space="preserve"> =</t>
    </r>
  </si>
  <si>
    <r>
      <t>b</t>
    </r>
    <r>
      <rPr>
        <vertAlign val="subscript"/>
        <sz val="11"/>
        <color theme="1"/>
        <rFont val="Calibri"/>
        <family val="2"/>
        <scheme val="minor"/>
      </rPr>
      <t>c</t>
    </r>
    <r>
      <rPr>
        <sz val="11"/>
        <color theme="1"/>
        <rFont val="Calibri"/>
        <family val="2"/>
        <scheme val="minor"/>
      </rPr>
      <t xml:space="preserve"> =</t>
    </r>
  </si>
  <si>
    <r>
      <t>N</t>
    </r>
    <r>
      <rPr>
        <vertAlign val="subscript"/>
        <sz val="11"/>
        <color theme="1"/>
        <rFont val="Calibri"/>
        <family val="2"/>
        <scheme val="minor"/>
      </rPr>
      <t>q</t>
    </r>
    <r>
      <rPr>
        <sz val="11"/>
        <color theme="1"/>
        <rFont val="Calibri"/>
        <family val="2"/>
        <scheme val="minor"/>
      </rPr>
      <t xml:space="preserve"> =</t>
    </r>
  </si>
  <si>
    <r>
      <t>b</t>
    </r>
    <r>
      <rPr>
        <vertAlign val="subscript"/>
        <sz val="11"/>
        <color theme="1"/>
        <rFont val="Calibri"/>
        <family val="2"/>
        <scheme val="minor"/>
      </rPr>
      <t>y</t>
    </r>
    <r>
      <rPr>
        <sz val="11"/>
        <color theme="1"/>
        <rFont val="Calibri"/>
        <family val="2"/>
        <scheme val="minor"/>
      </rPr>
      <t xml:space="preserve"> =</t>
    </r>
  </si>
  <si>
    <r>
      <t>N</t>
    </r>
    <r>
      <rPr>
        <vertAlign val="subscript"/>
        <sz val="11"/>
        <color theme="1"/>
        <rFont val="Calibri"/>
        <family val="2"/>
        <scheme val="minor"/>
      </rPr>
      <t>c</t>
    </r>
    <r>
      <rPr>
        <sz val="11"/>
        <color theme="1"/>
        <rFont val="Calibri"/>
        <family val="2"/>
        <scheme val="minor"/>
      </rPr>
      <t xml:space="preserve"> =</t>
    </r>
  </si>
  <si>
    <r>
      <t>N</t>
    </r>
    <r>
      <rPr>
        <vertAlign val="subscript"/>
        <sz val="11"/>
        <color theme="1"/>
        <rFont val="Calibri"/>
        <family val="2"/>
        <scheme val="minor"/>
      </rPr>
      <t>y</t>
    </r>
    <r>
      <rPr>
        <sz val="11"/>
        <color theme="1"/>
        <rFont val="Calibri"/>
        <family val="2"/>
        <scheme val="minor"/>
      </rPr>
      <t xml:space="preserve"> =</t>
    </r>
  </si>
  <si>
    <r>
      <t>s</t>
    </r>
    <r>
      <rPr>
        <vertAlign val="subscript"/>
        <sz val="11"/>
        <color theme="1"/>
        <rFont val="Calibri"/>
        <family val="2"/>
        <scheme val="minor"/>
      </rPr>
      <t>q</t>
    </r>
    <r>
      <rPr>
        <sz val="11"/>
        <color theme="1"/>
        <rFont val="Calibri"/>
        <family val="2"/>
        <scheme val="minor"/>
      </rPr>
      <t xml:space="preserve"> =</t>
    </r>
  </si>
  <si>
    <r>
      <t>s</t>
    </r>
    <r>
      <rPr>
        <vertAlign val="subscript"/>
        <sz val="11"/>
        <color theme="1"/>
        <rFont val="Calibri"/>
        <family val="2"/>
        <scheme val="minor"/>
      </rPr>
      <t>c</t>
    </r>
    <r>
      <rPr>
        <sz val="11"/>
        <color theme="1"/>
        <rFont val="Calibri"/>
        <family val="2"/>
        <scheme val="minor"/>
      </rPr>
      <t xml:space="preserve"> =</t>
    </r>
  </si>
  <si>
    <r>
      <t>s</t>
    </r>
    <r>
      <rPr>
        <vertAlign val="subscript"/>
        <sz val="11"/>
        <color theme="1"/>
        <rFont val="Calibri"/>
        <family val="2"/>
        <scheme val="minor"/>
      </rPr>
      <t>y</t>
    </r>
    <r>
      <rPr>
        <sz val="11"/>
        <color theme="1"/>
        <rFont val="Calibri"/>
        <family val="2"/>
        <scheme val="minor"/>
      </rPr>
      <t xml:space="preserve"> =</t>
    </r>
  </si>
  <si>
    <r>
      <t>i</t>
    </r>
    <r>
      <rPr>
        <vertAlign val="subscript"/>
        <sz val="11"/>
        <color theme="1"/>
        <rFont val="Calibri"/>
        <family val="2"/>
        <scheme val="minor"/>
      </rPr>
      <t>q</t>
    </r>
    <r>
      <rPr>
        <sz val="11"/>
        <color theme="1"/>
        <rFont val="Calibri"/>
        <family val="2"/>
        <scheme val="minor"/>
      </rPr>
      <t xml:space="preserve"> =</t>
    </r>
  </si>
  <si>
    <r>
      <t>i</t>
    </r>
    <r>
      <rPr>
        <vertAlign val="subscript"/>
        <sz val="11"/>
        <color theme="1"/>
        <rFont val="Calibri"/>
        <family val="2"/>
        <scheme val="minor"/>
      </rPr>
      <t>c</t>
    </r>
    <r>
      <rPr>
        <sz val="11"/>
        <color theme="1"/>
        <rFont val="Calibri"/>
        <family val="2"/>
        <scheme val="minor"/>
      </rPr>
      <t xml:space="preserve"> =</t>
    </r>
  </si>
  <si>
    <r>
      <t>i</t>
    </r>
    <r>
      <rPr>
        <vertAlign val="subscript"/>
        <sz val="11"/>
        <color theme="1"/>
        <rFont val="Calibri"/>
        <family val="2"/>
        <scheme val="minor"/>
      </rPr>
      <t>y</t>
    </r>
    <r>
      <rPr>
        <sz val="11"/>
        <color theme="1"/>
        <rFont val="Calibri"/>
        <family val="2"/>
        <scheme val="minor"/>
      </rPr>
      <t xml:space="preserve"> =</t>
    </r>
  </si>
  <si>
    <r>
      <rPr>
        <sz val="11"/>
        <color theme="1"/>
        <rFont val="Calibri"/>
        <family val="2"/>
      </rPr>
      <t>σ</t>
    </r>
    <r>
      <rPr>
        <vertAlign val="subscript"/>
        <sz val="11"/>
        <color theme="1"/>
        <rFont val="Calibri"/>
        <family val="2"/>
        <scheme val="minor"/>
      </rPr>
      <t>d;max</t>
    </r>
    <r>
      <rPr>
        <sz val="11"/>
        <color theme="1"/>
        <rFont val="Calibri"/>
        <family val="2"/>
        <scheme val="minor"/>
      </rPr>
      <t xml:space="preserve"> =</t>
    </r>
  </si>
  <si>
    <r>
      <rPr>
        <sz val="11"/>
        <color theme="1"/>
        <rFont val="Calibri"/>
        <family val="2"/>
      </rPr>
      <t>σ</t>
    </r>
    <r>
      <rPr>
        <sz val="9.35"/>
        <color theme="1"/>
        <rFont val="Calibri"/>
        <family val="2"/>
      </rPr>
      <t>'</t>
    </r>
    <r>
      <rPr>
        <vertAlign val="subscript"/>
        <sz val="11"/>
        <color theme="1"/>
        <rFont val="Calibri"/>
        <family val="2"/>
        <scheme val="minor"/>
      </rPr>
      <t>max</t>
    </r>
    <r>
      <rPr>
        <sz val="11"/>
        <color theme="1"/>
        <rFont val="Calibri"/>
        <family val="2"/>
        <scheme val="minor"/>
      </rPr>
      <t xml:space="preserve"> =</t>
    </r>
  </si>
  <si>
    <t>u.c.</t>
  </si>
  <si>
    <t>≤</t>
  </si>
  <si>
    <t>Berekeningsresultaat</t>
  </si>
  <si>
    <t>Maaiveld na aanvullen</t>
  </si>
  <si>
    <t>Bovenkant toetsingslaag</t>
  </si>
  <si>
    <t>Dekking op toetslaag</t>
  </si>
  <si>
    <r>
      <t>B'</t>
    </r>
    <r>
      <rPr>
        <vertAlign val="subscript"/>
        <sz val="11"/>
        <color theme="1"/>
        <rFont val="Calibri"/>
        <family val="2"/>
        <scheme val="minor"/>
      </rPr>
      <t>8°</t>
    </r>
  </si>
  <si>
    <t>Effectief oppervlak na spreiding onder 8° vanaf maaiveld</t>
  </si>
  <si>
    <r>
      <t>L'</t>
    </r>
    <r>
      <rPr>
        <vertAlign val="subscript"/>
        <sz val="11"/>
        <color theme="1"/>
        <rFont val="Calibri"/>
        <family val="2"/>
        <scheme val="minor"/>
      </rPr>
      <t>8°</t>
    </r>
  </si>
  <si>
    <r>
      <t>A'</t>
    </r>
    <r>
      <rPr>
        <vertAlign val="subscript"/>
        <sz val="11"/>
        <color theme="1"/>
        <rFont val="Calibri"/>
        <family val="2"/>
        <scheme val="minor"/>
      </rPr>
      <t>8°</t>
    </r>
  </si>
  <si>
    <r>
      <t>c</t>
    </r>
    <r>
      <rPr>
        <vertAlign val="subscript"/>
        <sz val="11"/>
        <color theme="1"/>
        <rFont val="Calibri"/>
        <family val="2"/>
        <scheme val="minor"/>
      </rPr>
      <t>u;d</t>
    </r>
  </si>
  <si>
    <t>kPa</t>
  </si>
  <si>
    <r>
      <t>s</t>
    </r>
    <r>
      <rPr>
        <vertAlign val="subscript"/>
        <sz val="11"/>
        <color theme="1"/>
        <rFont val="Calibri"/>
        <family val="2"/>
        <scheme val="minor"/>
      </rPr>
      <t>c</t>
    </r>
  </si>
  <si>
    <r>
      <t>i</t>
    </r>
    <r>
      <rPr>
        <vertAlign val="subscript"/>
        <sz val="11"/>
        <color theme="1"/>
        <rFont val="Calibri"/>
        <family val="2"/>
        <scheme val="minor"/>
      </rPr>
      <t>c</t>
    </r>
  </si>
  <si>
    <r>
      <rPr>
        <sz val="11"/>
        <color theme="1"/>
        <rFont val="Calibri"/>
        <family val="2"/>
      </rPr>
      <t>σ</t>
    </r>
    <r>
      <rPr>
        <sz val="9.35"/>
        <color theme="1"/>
        <rFont val="Calibri"/>
        <family val="2"/>
      </rPr>
      <t>'</t>
    </r>
    <r>
      <rPr>
        <vertAlign val="subscript"/>
        <sz val="11"/>
        <color theme="1"/>
        <rFont val="Calibri"/>
        <family val="2"/>
        <scheme val="minor"/>
      </rPr>
      <t>v;z;d</t>
    </r>
  </si>
  <si>
    <t>Verticale belasting incl. grondgewicht op toetslaag</t>
  </si>
  <si>
    <r>
      <t>V</t>
    </r>
    <r>
      <rPr>
        <vertAlign val="subscript"/>
        <sz val="11"/>
        <color theme="1"/>
        <rFont val="Calibri"/>
        <family val="2"/>
        <scheme val="minor"/>
      </rPr>
      <t>d;8°</t>
    </r>
  </si>
  <si>
    <r>
      <rPr>
        <sz val="11"/>
        <color theme="1"/>
        <rFont val="Calibri"/>
        <family val="2"/>
      </rPr>
      <t>γ</t>
    </r>
    <r>
      <rPr>
        <sz val="9.35"/>
        <color theme="1"/>
        <rFont val="Calibri"/>
        <family val="2"/>
      </rPr>
      <t>'</t>
    </r>
    <r>
      <rPr>
        <vertAlign val="subscript"/>
        <sz val="11"/>
        <color theme="1"/>
        <rFont val="Calibri"/>
        <family val="2"/>
        <scheme val="minor"/>
      </rPr>
      <t>gem;d</t>
    </r>
    <r>
      <rPr>
        <sz val="11"/>
        <color theme="1"/>
        <rFont val="Calibri"/>
        <family val="2"/>
        <scheme val="minor"/>
      </rPr>
      <t xml:space="preserve"> =</t>
    </r>
  </si>
  <si>
    <t>Bedrijfsnaam:</t>
  </si>
  <si>
    <t>Projectnaam:</t>
  </si>
  <si>
    <t>Locatie:</t>
  </si>
  <si>
    <t>Datum:</t>
  </si>
  <si>
    <t>Opsteller:</t>
  </si>
  <si>
    <t>Geldende normen en richtlijnen</t>
  </si>
  <si>
    <t>Bedrijfsgegevens</t>
  </si>
  <si>
    <t>NEN-EN 9997-1 Geotechnisch ontwerp van constructies - Deel 1: Algemene regels</t>
  </si>
  <si>
    <t>Toegepaste gegevens</t>
  </si>
  <si>
    <t>Geometrie bouwterrein</t>
  </si>
  <si>
    <t>Maaiveldniveau</t>
  </si>
  <si>
    <t>Grondwaterstand</t>
  </si>
  <si>
    <t>Benodigde aanvulling</t>
  </si>
  <si>
    <t>Maaiveld niveau na aanvulling</t>
  </si>
  <si>
    <t>Invoer 1 - Kraangegevens</t>
  </si>
  <si>
    <t>De X en Y coördinaten van kranen t.o.v. de spil kunnen handmatig worden toegevoegd aan het tabblad 'Hulpblad kranen'</t>
  </si>
  <si>
    <t xml:space="preserve">Voor het gebruik van deze spreadsheet wordt aangenomen dat de gebruiken kennis van excel heeft. </t>
  </si>
  <si>
    <t>Deze spreadsheet dient als basis. Gebruikers kunnen zelf aanvullingen doen voor eigen gebruik.</t>
  </si>
  <si>
    <t>Drainage</t>
  </si>
  <si>
    <t>Drainage aanwezig voor hanteren GWS?</t>
  </si>
  <si>
    <t>Omschrijving toplaag bouwput</t>
  </si>
  <si>
    <t xml:space="preserve">Eerste </t>
  </si>
  <si>
    <t>meter</t>
  </si>
  <si>
    <t>Daarna</t>
  </si>
  <si>
    <t>Bouwterrein belasting vanuit kraan en schotten</t>
  </si>
  <si>
    <t>Funderingsmachine</t>
  </si>
  <si>
    <t>Blok/Boormotor</t>
  </si>
  <si>
    <t>Element/Last</t>
  </si>
  <si>
    <t>Breedte/Vierkantmaat/Diameter</t>
  </si>
  <si>
    <t>Rotatie bovenwagen t.o.v. onderwagen</t>
  </si>
  <si>
    <t xml:space="preserve">Gronddruk vanuit kraan </t>
  </si>
  <si>
    <t>Gronddruk vanuit schotten</t>
  </si>
  <si>
    <t>Totale gronddruk</t>
  </si>
  <si>
    <t>Draagvermogen ondergrond</t>
  </si>
  <si>
    <t>Gedraineerd draagvermogen</t>
  </si>
  <si>
    <t>Geponst ongedraineerd draagvermogen</t>
  </si>
  <si>
    <t>Geponst gedraineerd draagvermogen</t>
  </si>
  <si>
    <t>Checkbox</t>
  </si>
  <si>
    <r>
      <t>kN/m</t>
    </r>
    <r>
      <rPr>
        <vertAlign val="superscript"/>
        <sz val="10"/>
        <color theme="1"/>
        <rFont val="Calibri"/>
        <family val="2"/>
        <scheme val="minor"/>
      </rPr>
      <t>2</t>
    </r>
  </si>
  <si>
    <t>CUR Begaanbaarheid van bouwterreinen - Geotechnische draagkracht voor funderingsmachines, jr. 2017</t>
  </si>
  <si>
    <t>Conclusies en randvoorwaardes</t>
  </si>
  <si>
    <t>m, per stuk</t>
  </si>
  <si>
    <t>De volgende uitgangspunten dienen op de bouwplaats gehanteerd en gecontroleerd te worden:</t>
  </si>
  <si>
    <t>Maaiveld niveau (evt. na aanvullen)</t>
  </si>
  <si>
    <t>Grondwaterstand (na drainage)</t>
  </si>
  <si>
    <t xml:space="preserve">Rand schotten tot rand rups bedraagt minimaal </t>
  </si>
  <si>
    <t>Toegepaste schotten</t>
  </si>
  <si>
    <t>Logboek</t>
  </si>
  <si>
    <t>In dit logboek dienen de noodzakelijke inspecties, controles en wijzigingen van het bouwterrein bijgehouden te worden.</t>
  </si>
  <si>
    <t>Datum</t>
  </si>
  <si>
    <t>Bedrijf</t>
  </si>
  <si>
    <t>Naam &amp; Functie</t>
  </si>
  <si>
    <t>Paraaf</t>
  </si>
  <si>
    <t>Opmerkingen / Aandachtspunten / Wijzigingen</t>
  </si>
  <si>
    <t>Bouwterrein</t>
  </si>
  <si>
    <t>Check</t>
  </si>
  <si>
    <t>a</t>
  </si>
  <si>
    <t xml:space="preserve">a = </t>
  </si>
  <si>
    <t>b</t>
  </si>
  <si>
    <t>Lschot</t>
  </si>
  <si>
    <t xml:space="preserve">b = </t>
  </si>
  <si>
    <t>min. afstand rand rups - rand schotten</t>
  </si>
  <si>
    <t>Eenheid</t>
  </si>
  <si>
    <t>Rupsen</t>
  </si>
  <si>
    <t>DRUKMATERIEEL</t>
  </si>
  <si>
    <t>TRILBLOKKEN</t>
  </si>
  <si>
    <t>HEIBLOKKEN HYDRAULISCH</t>
  </si>
  <si>
    <t>BOORMOTOREN</t>
  </si>
  <si>
    <t xml:space="preserve">De NVAF stelt deze spreadsheet beschikbaar om voor verschillende kraansamenstellingen het draagvermogen van de ondergrond voor de bouwlocatie te berekenen. De NVAF is niet verantwoordelijk voor de rekenresultaten en kan nooit aansprakelijk worden gesteld voor onverhoopte fouten in de spreadsheet. De volledige verantwoordelijkheid voor het gebruik van de spreadsheet ligt bij de gebruiker. </t>
  </si>
  <si>
    <t>De gebruiker van deze spreadsheet dient verstand te hebben van excel en van de materie/theorie waarop deze spreadsheet gebaseerd is.</t>
  </si>
  <si>
    <t>Bij het gebruik van deze spreadsheet gaat de gebruiker akkoord met bovengestelde verantwoordelijkheden.</t>
  </si>
  <si>
    <t>In de spreadsheet wordt gebruik gemaakt van X en Y coordinaten voor het definieren van de zwaartepunten van de onderdelen van de kraan (onderwagen, bovenwagen, makelaar, giek, ballast, aggregaat).</t>
  </si>
  <si>
    <t>X: Horizontaal, gemeten vanuit de kraaikrans (de spil) van de kraan</t>
  </si>
  <si>
    <t>Y: Verticaal, gemeten vanaf bovenkant schotten/onderkant rups</t>
  </si>
  <si>
    <t>Geadviseerd wordt om voorts voor het gebruik van de spreadsheet de spreadsheet volledig door te nemen en kennis te nemen van de CUR publicatie m.b.t. begaanbaarheid bouwterreinen.</t>
  </si>
  <si>
    <t>Algemeen - Disclaimer</t>
  </si>
  <si>
    <t>Algemeen - Gebruik X en Y coordinaten / assenstelsel in de spreadsheet</t>
  </si>
  <si>
    <t>Hulpblad kranen</t>
  </si>
  <si>
    <t>Dit blad dient er voor om de gegevens m.b.t. de onderdelen van de kraan in te vullen.</t>
  </si>
  <si>
    <t>Dit betreft de onderwagen, de bovenwagen, giek, schoorcilinders, makelaar, ballast, aggregaat.</t>
  </si>
  <si>
    <t>Hiervan dienen met onderdeel de gewichten (in kN), de X en Y positie van het zwaartepunt en het windoppervlak parallel en haaks op het onderdeel ingevoerd te worden.</t>
  </si>
  <si>
    <t>Gebruikers zijn zelf verantwoordelijk voor het juist invullende van de kraangegevens.</t>
  </si>
  <si>
    <t>Hulpblad Blokken</t>
  </si>
  <si>
    <t>Hulpblad schotten</t>
  </si>
  <si>
    <t>Dit blad dient er voor om de gegevens m.b.t. de schotten in te vullen.</t>
  </si>
  <si>
    <t>Dit betreft het gewicht (kg) en de afmeting (lengte, breedte, hoogte) van de schotten</t>
  </si>
  <si>
    <t>SCHOTTEN</t>
  </si>
  <si>
    <t xml:space="preserve">Gewicht </t>
  </si>
  <si>
    <t>GEEN BLOK</t>
  </si>
  <si>
    <t>Dit blad dient er voor om de gegevens m.b.t. de blokken (druk materieel, tril materieel, heiblokken) in te vullen.</t>
  </si>
  <si>
    <t>Dit betreft het gewicht (kg, wordt omgerekend naar kN) en de afmeting van de blokken (hoogte, lengte en breedte in meters).</t>
  </si>
  <si>
    <t xml:space="preserve">X en Y posities en wind oppervlak worden bepaald, maar kunnen ook handmatig overschreven worden. </t>
  </si>
  <si>
    <t>in</t>
  </si>
  <si>
    <t>blok</t>
  </si>
  <si>
    <t>X-blok</t>
  </si>
  <si>
    <t>Y-blok</t>
  </si>
  <si>
    <t>X-spil</t>
  </si>
  <si>
    <t>Y-spil</t>
  </si>
  <si>
    <t>afstand b.k. blok tot b.k. giek/makelaar</t>
  </si>
  <si>
    <t>giek</t>
  </si>
  <si>
    <t>Woltman THW7528</t>
  </si>
  <si>
    <t>Zwaartepunt X-as t.o.v. spil</t>
  </si>
  <si>
    <t>Zwaartepunt Y-as t.o.v. spil</t>
  </si>
  <si>
    <t>makelaar</t>
  </si>
  <si>
    <t>Y blok onderkant</t>
  </si>
  <si>
    <t>Afstand rand rups - rand schot haaks</t>
  </si>
  <si>
    <t>Dikte</t>
  </si>
  <si>
    <t>Lengteas</t>
  </si>
  <si>
    <t>Wind // parallel aan lengteas</t>
  </si>
  <si>
    <t>Wind ^ haaks op lengteas</t>
  </si>
  <si>
    <t>WH</t>
  </si>
  <si>
    <t>ROT</t>
  </si>
  <si>
    <t>haaks</t>
  </si>
  <si>
    <t>parallel</t>
  </si>
  <si>
    <t>Windhoek t.o.v. lengteas onderwagen</t>
  </si>
  <si>
    <t>Windhoek op bovenwagen haaks</t>
  </si>
  <si>
    <t>Windhoek op bovenwagen parallel</t>
  </si>
  <si>
    <t>ton</t>
  </si>
  <si>
    <t>Rotatie bovenwagen = 0 gr.</t>
  </si>
  <si>
    <t>Rotatie bovenwagen = 90 gr.</t>
  </si>
  <si>
    <t>a1</t>
  </si>
  <si>
    <t>a2</t>
  </si>
  <si>
    <t>f</t>
  </si>
  <si>
    <t>hoek</t>
  </si>
  <si>
    <t>Nederlandse Vereniging Aannemers Funderingswerken</t>
  </si>
  <si>
    <t xml:space="preserve">Tel.nr. </t>
  </si>
  <si>
    <t>0341 - 456 191</t>
  </si>
  <si>
    <t>Email</t>
  </si>
  <si>
    <t>secretariaat@nvaf.nl</t>
  </si>
  <si>
    <t>Versiebeheer</t>
  </si>
  <si>
    <t>Huidige versie</t>
  </si>
  <si>
    <t>1.0</t>
  </si>
  <si>
    <t>Versie</t>
  </si>
  <si>
    <t>0.1</t>
  </si>
  <si>
    <t>Concept</t>
  </si>
  <si>
    <t>Eerste gebruiksversie</t>
  </si>
  <si>
    <t xml:space="preserve">1.1 </t>
  </si>
  <si>
    <t>Wijzigingen</t>
  </si>
  <si>
    <t>Intiele versie opgesteld o.b.v. de CUR Begaanbaarheid Bouwterreinen</t>
  </si>
  <si>
    <t>Opmerkinge van FuBo Consult verwerkt in spreadsheet</t>
  </si>
  <si>
    <t>Contacgegevens</t>
  </si>
  <si>
    <t>WAARDES IN B9 EN C9 NIET WIJZIGEN, gebeurt automatisch!</t>
  </si>
  <si>
    <t>Zwaartepunt B Horizontaal</t>
  </si>
  <si>
    <t>Zwaartepunt H Verticaal</t>
  </si>
  <si>
    <t>Horizontale afstand zwaartepunt blok - zwaartepunt makelaar</t>
  </si>
  <si>
    <t>Aansluiting op bovenwagen t.o.v. X-as t.o.v. spil</t>
  </si>
  <si>
    <t>Aansluiting op bovenwagen t.o.v. Y-as t.o.v. spil</t>
  </si>
  <si>
    <t>Loc. Y-as midden giek t.o.v. spil</t>
  </si>
  <si>
    <t>Loc. Y-as midden schoorcilinder t.o.v. spil</t>
  </si>
  <si>
    <t>1. Kraan (o.b.v. hulpblad Kranen)</t>
  </si>
  <si>
    <t>2. Giek</t>
  </si>
  <si>
    <t>3. Schoorcilinder</t>
  </si>
  <si>
    <t>4. Makelaar</t>
  </si>
  <si>
    <t>5. Last/Element</t>
  </si>
  <si>
    <t>6. Schotten</t>
  </si>
  <si>
    <t>7. Ballast</t>
  </si>
  <si>
    <t>8. Aggregaat</t>
  </si>
  <si>
    <t>9. Blok</t>
  </si>
  <si>
    <t>op</t>
  </si>
  <si>
    <t>V</t>
  </si>
  <si>
    <t>H</t>
  </si>
  <si>
    <t>a =</t>
  </si>
  <si>
    <t>min. 1,00 m uit rand schotten</t>
  </si>
  <si>
    <t>m in voor kraan midden op schotten</t>
  </si>
  <si>
    <t>yn</t>
  </si>
  <si>
    <t>cu rep</t>
  </si>
  <si>
    <t>1. Kies het type kraan. De keuze kan gemaakt worden uit de kranen die zijn toegevoegd in het tabbled 'Hulpblad kranen'. Hierin kunnen vanaf kolom D t/m AA kranen worden ingevoerd.</t>
  </si>
  <si>
    <t xml:space="preserve">3. Geef aan of de kraan voorzien is van schoorcilinders. De gegevens van de schoorcilinders worden ingevoerd in het tabbled 'Hulpblad kranen'. Indien de kraan van schoorcilinders voorzien is kan de hoek van de schoorcilinders met de horizontaal worden aangegeven. De schoorcilinders worden in combinatie met een makelaar toegepast . De gebruiker dient zelf de juiste hoek aan te geven waarmee de schoorcilinders aansluiten op de makelaar. </t>
  </si>
  <si>
    <t xml:space="preserve">2. Geef aan of de kraan voorzien is van een giek. De gegevens van de giek worden ingevoerd in het tabblad 'Hulpblad kranen'. Indien de kraan van een giek voorzien is kan de hoek van de giek met de horizontaal worden aangegeven, afhankelijk van de benodigde vlucht. Indien een giek in combinatie met een makelaar toegepast wordt dient de gebruiker zelf de juiste hoek aan te geven t.o.v. de makelaar. </t>
  </si>
  <si>
    <t xml:space="preserve">4. Geef aan of de kraan voorzien is van een makelaar. De gegevens van de makelaar worden invoerd in het tabblad 'Hulpblad kranen'. Indien de kraan van een makelaar voorzien is kan gekozen worden of er te lood, schoor voorover of schoor achterover wordt gewerkt. De schoorstand wordt aangegeven met een verhouden van Verticale op Horizontaal (V:H). </t>
  </si>
  <si>
    <t xml:space="preserve">5. Geef aan of er een last in het blok in de giek of makelaar aanwezig is. Er dient aangegeven te worden of de last in de giek of makelaar aanwezig is. Voor de last dient de lengte, de breedte en de dikte ingevoerd te worden. Voorbeeld 1: een 4-ling AZ18-700 heeft een breedte van 2,80 m (4 × 0,70 m) en een dikte van 0,42 m (kashoogte). Voorbeeld 2: een (buis)paal heeft een gelijk breedte en dikte, dus vul voor beide de diameter in. </t>
  </si>
  <si>
    <t xml:space="preserve">6. Geef aan op welk type schotten gewerkt worden. De spreadsheet is opgesteld voor het gebruik voor kran dien haaks op schotten staan. De optie op geen toe te passen is in deze spreadsheet niet verwerkt. </t>
  </si>
  <si>
    <t xml:space="preserve">8. Geef aan of de kraan voorzien is van aan een aggregaat. De gegevens van het aggregaat worden ingevoerd in het tabblad 'Hulpblad kranen'. </t>
  </si>
  <si>
    <t xml:space="preserve">9. Geef aan of een blok wordt gebruikt. Geef aan of het blok in een giek of makelaar aanwezig is. In het geval het blok in een makelaar aanwezig is dient de horizontale afstand van zwaartepunt van de makelaar tot zwaartepunt van het blok aangegeven te worden. Tevens dient de afstand van bovenkant makelaar tot bovenkant blok ingevoerd te worden om de hoogtepositie van het blok te bepalen. </t>
  </si>
  <si>
    <t>Invoer 2 - Berekening Belastingen</t>
  </si>
  <si>
    <r>
      <t xml:space="preserve">7. Geef aan of de kraan voorzien is van ballast. De gegevens van de ballast worden ingevoerd in het tabblad 'Hulpblad kranen'. </t>
    </r>
    <r>
      <rPr>
        <sz val="11"/>
        <color rgb="FFFF0000"/>
        <rFont val="Calibri"/>
        <family val="2"/>
        <scheme val="minor"/>
      </rPr>
      <t>BELANGRIJK;</t>
    </r>
    <r>
      <rPr>
        <sz val="11"/>
        <rFont val="Calibri"/>
        <family val="2"/>
        <scheme val="minor"/>
      </rPr>
      <t xml:space="preserve"> De gebruiker dient het windoppervlak goed in ogenschouw te nemen. De ballast is vaak onderdeel van de bovenwagen waardoor bijvoorbeeld het oppervlak parallel aan de lengteas van de bovenwagen maar een keer in rekening gebracht hoeft te worden. Dit oppervlak is ten slotte de achterzijde van de bovenwagen/ballast.</t>
    </r>
  </si>
  <si>
    <r>
      <t>m</t>
    </r>
    <r>
      <rPr>
        <vertAlign val="superscript"/>
        <sz val="11"/>
        <color theme="1"/>
        <rFont val="Arial"/>
        <family val="2"/>
      </rPr>
      <t>2</t>
    </r>
  </si>
  <si>
    <t xml:space="preserve">De windhoek wordt gedefinieerd t.o.v. de lengte as van de onderwagen. Voorbeeld: Voor wind haaks op de onderwagen dient 90° ingevuld te worden. Voor wind parallel aan de onderwagen dient 0° ingevuld te worden. </t>
  </si>
  <si>
    <t xml:space="preserve">De rotatie van de bovenwagen geeft de rotatie aan t.o.v. de ondewagen. Voor de rotatie wordt een hoek van 0 tot 90 graden aangehouden. Dit dekt dan voor het grootste deel de maatgevende werksituaties. In de berekening van de windbelasting wordt rekening gehouden met de rotatie van de bovenwagen. </t>
  </si>
  <si>
    <t xml:space="preserve">Een rotatie van 0 graden betekend dat de lengte as van de bovenwagen gelijk staat aan de lengte as van de onderwagen. Een rotatie van 90 graden betekend dat de lengte as van de bovenwagen haaks op de lengte as van de onderwagen staat. </t>
  </si>
  <si>
    <t>Invoer 3 - Funderingsoppervlak</t>
  </si>
  <si>
    <t xml:space="preserve">De meeste informatie op dit tabblad volgt uit 'Invoer 2 - Berekening Belastingen'. In dit tabblad wordt het effectieve funderingsoppervlak berekend, zoals dat ook gedaan wordt bij een fundering op staal berekening. De excentriciteit van de totale verticale belasting is reeds berekend t.o.v. de spil. In dit tabblad wordt de excentriciteit t.o.v. het midden van het schottenveld nog bepaald. Dit wordt gedaan door de positie van de zijkant van de rups t.o.v. de rand van het schottenplateau te definieren. </t>
  </si>
  <si>
    <t xml:space="preserve">Dit wordt gedaan door afstand 'a' in te vullen. Deze dient conform de CUR Begaanbaarheid Bouwterreinen minimaal 1,00 m te bedragen. Tevens is aangegeven welke waarde voor 'a' ingevuld dient te worden waarbij de kraan midden op de schotten staat. </t>
  </si>
  <si>
    <t>Dit tabblad is bedoeld om de configuratie van de kraan aan te geven. Het type kraan dient geselecteerd te worden. De onderdelen van een kraan zoals een giek, makelaar, schoorcilinder etc. dienen seprataar aangegeven te worden i.v.m. bepaling zwaartepunten van de verschillende onderdelen van de kraan. De gegevens van de kraan zijn door de gebruiker reeds ingevuld in het tabblad 'Hulpblad Kranen'.</t>
  </si>
  <si>
    <t>In dit tabblad worden de rekenwaarden van de belastingen berekend. De rekenfactoren zijn aangehouden conform de CUR Begaanbaarheid Bouwterreinen. Er dienen hier twee waardes ingevuld te worden. De windhoek en de rotatie van de bovenwagen.</t>
  </si>
  <si>
    <t>Invoer 4 - Grondeigenschappen</t>
  </si>
  <si>
    <t>Voor het gebruik van dit tabblad dient de gebruiker kennis te hebben van geotechnische grondparameters en de berekeningsmethodiek van een fundering op staal.</t>
  </si>
  <si>
    <t>Indien de toplaag vervangen wordt dient dit in tabblad Invoer 4 aangegeven te worden. Zie ook de gebruiksaanwijzing voor verdere uitleg.</t>
  </si>
  <si>
    <t xml:space="preserve">Het maaiveld niveau en de grondwaterstand dienen ingevuld te worden. Er dient aangegeven te worden of er drainage wordt toegepast. Dit heeft verder geen invloed op de berekening. De grondwaterstand na drainage dient handmatig verwerkt te worden. </t>
  </si>
  <si>
    <t xml:space="preserve">De grondopbouw dient ingevoerd te worden. De waardes in cellen B9 en C9 hoeven niet handmatig gewijzigd te worden. Deze rij is bedoeld voor een mogelijke (zand)ophoging te modelleren. Dit wordt in tabblad Invoer 5 gedaan. </t>
  </si>
  <si>
    <t>De grondopbouw kan op basis van een boring of sondering ingevoerd worden. Deze dient handmatige per grondlaag gedefinieerd te worden. Het is belangrijk om een laagscheiding aan te brengen op het niveau van de grondwaterstand zodat deze correct wordt mee genomen.</t>
  </si>
  <si>
    <t>Opmerkingen:</t>
  </si>
  <si>
    <t>1. Scheiding aanbrengen op niveau grondwaterstand</t>
  </si>
  <si>
    <t>2. Is er drainage benodigd voor het hanteren van deze GWS?</t>
  </si>
  <si>
    <t>3. Zie Invoer 4 voor aanvulling</t>
  </si>
  <si>
    <t>4. Grondverbetering / Vervangen toplaag dient in deze tabel verwerkt te worden.</t>
  </si>
  <si>
    <r>
      <rPr>
        <sz val="10"/>
        <rFont val="Calibri"/>
        <family val="2"/>
      </rPr>
      <t>ϕ</t>
    </r>
    <r>
      <rPr>
        <sz val="10"/>
        <rFont val="Arial"/>
        <family val="2"/>
      </rPr>
      <t>'</t>
    </r>
    <r>
      <rPr>
        <vertAlign val="subscript"/>
        <sz val="10"/>
        <rFont val="Arial"/>
        <family val="2"/>
      </rPr>
      <t>rep;opgeteld</t>
    </r>
  </si>
  <si>
    <t xml:space="preserve">Per laag dient het niveau van bovenkant en onderkant t.o.v. NAP aangegeven te worden. Per laag dient het droge en natte volumieke gewicht aangegeven te worden evenals de hoek van inwendige wrijving, cohesie en ongedraineerde schuifsterkte. Deze waardes betreffen karakteristieke waardes. De waardes worden in de tabel eronder omgerekend tot rekenwaardes. </t>
  </si>
  <si>
    <t xml:space="preserve">Indien er grondverbetering toegepast wordt (dus verwijderen toplaag en terugplaatsen zand of andere materiaal) dan dient dit handmatig verwerkt te worden in de laagopbouw. </t>
  </si>
  <si>
    <t xml:space="preserve">Een aanvulling daarentegen worden in het tabblad Invoer 5 ingevoerd. </t>
  </si>
  <si>
    <t>Invoer 5 - Draagvermogen</t>
  </si>
  <si>
    <r>
      <t xml:space="preserve">In dit tabblad wordt het draagvermogen van de ondergrond berekend. Dit wordt gedaan o.b.v. de reeds eerder berekende effectieve funderings lengte en breedte, de optredende krachten en de opgegeven grondparameters. </t>
    </r>
    <r>
      <rPr>
        <sz val="11"/>
        <color rgb="FFFF0000"/>
        <rFont val="Calibri"/>
        <family val="2"/>
        <scheme val="minor"/>
      </rPr>
      <t>Voor de berekening dient de gebruiker kennis te hebben van de rekenmethodiek voor een fundering op staal.</t>
    </r>
  </si>
  <si>
    <t>Voor de berekening van de draagkracht worden 3 verschillende controles uitegevoerd. Gedraineerd, geponst ongedraineerd en geponst gedraineerd.</t>
  </si>
  <si>
    <t>Het is mogelijk een grondaanvulling aan te geven. Dit wordt dan automatisch verwerkt. Grondeigenschappen van deze aanvulling kunnen nog worden aangepast in Invoer 4. Het toepassen van een grondverbetering dient ingevoerd te worden in Invoer 4. Dit dient dan meegenomen te worden in de laagopbouw.</t>
  </si>
  <si>
    <t>Voor de gedraineerde berekening dient een schatting van de karakteristieke waarde van de hoek van inwendige wrijving ingevuld te worden. Dit betreft een gewogen gemiddelde van de waardes van de lagen die binnen het invloedgebied 'Ze' vallen.</t>
  </si>
  <si>
    <t>[1]</t>
  </si>
  <si>
    <t>[2]</t>
  </si>
  <si>
    <t>10. OVERZICHT BELASTINGEN EN ZWAARTEPUNTEN</t>
  </si>
  <si>
    <r>
      <t xml:space="preserve">10. Gebruikers zijn zelf verantwoordelijk voor de te hanteren X en Y coördinaten van de verschillende onderdelen van de kraan. </t>
    </r>
    <r>
      <rPr>
        <sz val="11"/>
        <color rgb="FFFF0000"/>
        <rFont val="Calibri"/>
        <family val="2"/>
        <scheme val="minor"/>
      </rPr>
      <t>CONTROLEER ALTIJD DE INVOER EN CONTROLEER ALTUD DE BEREKENDE BELASTINGEN EN ZWAARTEPUNTEN DIE AANGEGEVEN STAAN IN DE TABEL AAN DE RECHTER KANT.</t>
    </r>
  </si>
  <si>
    <t>b.k, blok b.k makelaar</t>
  </si>
  <si>
    <t xml:space="preserve">Alle 3 de situaties dienen gecontroleerd te worden. Geponst ongedraineerd en geponst gedraineerd zijn controles die betrekking hebben tot slappe/cohesieve lagen onder de toplaag. Voorbeeld: Als er een toplaag zand aanwezig is met daaronder een veenlaag dan dient deze veenlaag getoetst te worden. </t>
  </si>
  <si>
    <t xml:space="preserve">Geponst ongedraineerd en geponst gedraineerd wordt berekend op laagscheidingen van slappe lagen, zijnde bovenkant laag. Deze laagscheidingen zijn ingevoerd in Invoer 4. Voorbeeld: Als een toplaag zand aanwezig is met daaronder een veenlaag dan dient deze veenlaag getoetst te worden. Vul in dit geval bovenkant veenlaag in. </t>
  </si>
  <si>
    <t xml:space="preserve">Voor de geponst ongedraineerde berekening dient de bovenkant van een slappe laag (indien aanwezig) ingevoerd te worden. De lagen zijn reeds gedefinieerd in Invoer 4. Voorbeeld: Als een toplaag zand aanwezig is met daaronder een veenlaag dan dient deze veenlaag getoetst te worden. Vul in dit geval bovenkant veenlaag in. </t>
  </si>
  <si>
    <t xml:space="preserve">Voor de geponst gedraineerde berekening dient de bovenkant van een slappe laag (indien aanwezig) ingevoerd te worden. De lagen zijn reeds gedefinieerd in Invoer 4. Voorbeeld: Als een toplaag zand aanwezig is met daaronder een veenlaag dan dient deze veenlaag getoetst te worden. Vul in dit geval bovenkant veenlaag in. </t>
  </si>
  <si>
    <t>Tabblad overzicht reken resultaten</t>
  </si>
  <si>
    <t>In dit tabblad is het overzicht van de reeds berekende belastingen en het funderingsoppervlak weergegeven. Tevens wordt hier ook het gewicht van de schotten opgeteld bij de belasting vanuit de kraan om een totale gronddruk te berekenen.</t>
  </si>
  <si>
    <t>Controleer in dit tabblad nogmaals goed of de waardes in de lijn der verwachting liggen. De gebruikers zijn zelf verantwoordelijk voor de juistheid van de resultaten.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</si>
</sst>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5" x14ac:knownFonts="1">
    <font>
      <sz val="11"/>
      <color theme="1"/>
      <name val="Calibri"/>
      <family val="2"/>
      <scheme val="minor"/>
    </font>
    <font>
      <vertAlign val="superscript"/>
      <sz val="11"/>
      <color theme="1"/>
      <name val="Calibri"/>
      <family val="2"/>
      <scheme val="minor"/>
    </font>
    <font>
      <sz val="11"/>
      <color rgb="FFFF0000"/>
      <name val="Calibri"/>
      <family val="2"/>
      <scheme val="minor"/>
    </font>
    <font>
      <b/>
      <sz val="10"/>
      <color theme="0"/>
      <name val="Arial"/>
      <family val="2"/>
    </font>
    <font>
      <sz val="10"/>
      <color theme="1"/>
      <name val="Arial"/>
      <family val="2"/>
    </font>
    <font>
      <b/>
      <sz val="11"/>
      <color theme="1"/>
      <name val="Calibri"/>
      <family val="2"/>
      <scheme val="minor"/>
    </font>
    <font>
      <sz val="11"/>
      <name val="Calibri"/>
      <family val="2"/>
      <scheme val="minor"/>
    </font>
    <font>
      <vertAlign val="subscript"/>
      <sz val="11"/>
      <color theme="1"/>
      <name val="Calibri"/>
      <family val="2"/>
      <scheme val="minor"/>
    </font>
    <font>
      <sz val="11"/>
      <color theme="1"/>
      <name val="Calibri"/>
      <family val="2"/>
    </font>
    <font>
      <vertAlign val="subscript"/>
      <sz val="11"/>
      <color theme="1"/>
      <name val="Calibri"/>
      <family val="2"/>
    </font>
    <font>
      <vertAlign val="superscript"/>
      <sz val="11"/>
      <color theme="1"/>
      <name val="Calibri"/>
      <family val="2"/>
    </font>
    <font>
      <sz val="10"/>
      <name val="Arial"/>
      <family val="2"/>
    </font>
    <font>
      <vertAlign val="subscript"/>
      <sz val="10"/>
      <name val="Arial"/>
      <family val="2"/>
    </font>
    <font>
      <sz val="10"/>
      <name val="Symbol"/>
      <family val="1"/>
      <charset val="2"/>
    </font>
    <font>
      <sz val="10"/>
      <name val="Calibri"/>
      <family val="2"/>
    </font>
    <font>
      <vertAlign val="subscript"/>
      <sz val="10"/>
      <name val="Calibri"/>
      <family val="2"/>
    </font>
    <font>
      <vertAlign val="superscript"/>
      <sz val="10"/>
      <name val="Arial"/>
      <family val="2"/>
    </font>
    <font>
      <b/>
      <sz val="10"/>
      <name val="Arial"/>
      <family val="2"/>
    </font>
    <font>
      <sz val="10"/>
      <color rgb="FFFF0000"/>
      <name val="Arial"/>
      <family val="2"/>
    </font>
    <font>
      <b/>
      <sz val="11"/>
      <name val="Calibri"/>
      <family val="2"/>
      <scheme val="minor"/>
    </font>
    <font>
      <b/>
      <sz val="12"/>
      <name val="Calibri"/>
      <family val="2"/>
    </font>
    <font>
      <sz val="8"/>
      <name val="Arial"/>
      <family val="2"/>
    </font>
    <font>
      <sz val="9.35"/>
      <color theme="1"/>
      <name val="Calibri"/>
      <family val="2"/>
    </font>
    <font>
      <b/>
      <sz val="11"/>
      <color rgb="FFC00000"/>
      <name val="Calibri"/>
      <family val="2"/>
      <scheme val="minor"/>
    </font>
    <font>
      <b/>
      <sz val="10"/>
      <color theme="0"/>
      <name val="Calibri"/>
      <family val="2"/>
      <scheme val="minor"/>
    </font>
    <font>
      <sz val="10"/>
      <color theme="1"/>
      <name val="Calibri"/>
      <family val="2"/>
      <scheme val="minor"/>
    </font>
    <font>
      <sz val="10"/>
      <color theme="0"/>
      <name val="Calibri"/>
      <family val="2"/>
      <scheme val="minor"/>
    </font>
    <font>
      <vertAlign val="superscript"/>
      <sz val="10"/>
      <color theme="1"/>
      <name val="Calibri"/>
      <family val="2"/>
      <scheme val="minor"/>
    </font>
    <font>
      <b/>
      <sz val="10"/>
      <color theme="1"/>
      <name val="Arial"/>
      <family val="2"/>
    </font>
    <font>
      <u/>
      <sz val="11"/>
      <color theme="10"/>
      <name val="Calibri"/>
      <family val="2"/>
      <scheme val="minor"/>
    </font>
    <font>
      <b/>
      <sz val="11"/>
      <color theme="0"/>
      <name val="Calibri"/>
      <family val="2"/>
      <scheme val="minor"/>
    </font>
    <font>
      <sz val="11"/>
      <color theme="0"/>
      <name val="Calibri"/>
      <family val="2"/>
      <scheme val="minor"/>
    </font>
    <font>
      <sz val="11"/>
      <color theme="1"/>
      <name val="Arial"/>
      <family val="2"/>
    </font>
    <font>
      <b/>
      <sz val="11"/>
      <color theme="1"/>
      <name val="Arial"/>
      <family val="2"/>
    </font>
    <font>
      <vertAlign val="superscript"/>
      <sz val="11"/>
      <color theme="1"/>
      <name val="Arial"/>
      <family val="2"/>
    </font>
  </fonts>
  <fills count="1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0061AD"/>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34998626667073579"/>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504">
    <xf numFmtId="0" fontId="0" fillId="0" borderId="0" xfId="0"/>
    <xf numFmtId="0" fontId="0" fillId="0" borderId="0" xfId="0" applyFill="1"/>
    <xf numFmtId="0" fontId="0" fillId="0" borderId="0" xfId="0" applyFill="1" applyBorder="1"/>
    <xf numFmtId="2" fontId="0" fillId="0" borderId="0" xfId="0" applyNumberFormat="1"/>
    <xf numFmtId="2" fontId="0" fillId="0" borderId="0" xfId="0" applyNumberFormat="1" applyAlignment="1">
      <alignment horizontal="center"/>
    </xf>
    <xf numFmtId="0" fontId="0" fillId="2" borderId="4" xfId="0" applyFill="1" applyBorder="1"/>
    <xf numFmtId="0" fontId="0" fillId="2" borderId="0" xfId="0" applyFill="1" applyBorder="1"/>
    <xf numFmtId="164" fontId="0" fillId="2" borderId="0" xfId="0" applyNumberFormat="1" applyFill="1" applyBorder="1" applyAlignment="1">
      <alignment horizontal="center"/>
    </xf>
    <xf numFmtId="0" fontId="0" fillId="2" borderId="5" xfId="0" applyFill="1" applyBorder="1"/>
    <xf numFmtId="0" fontId="0" fillId="2" borderId="0" xfId="0" applyFill="1" applyBorder="1" applyAlignment="1">
      <alignment horizontal="center"/>
    </xf>
    <xf numFmtId="2" fontId="0" fillId="2" borderId="0" xfId="0" applyNumberFormat="1" applyFill="1" applyBorder="1" applyAlignment="1">
      <alignment horizontal="center"/>
    </xf>
    <xf numFmtId="0" fontId="0" fillId="2" borderId="6" xfId="0" applyFill="1" applyBorder="1"/>
    <xf numFmtId="0" fontId="0" fillId="2" borderId="7" xfId="0" applyFill="1" applyBorder="1"/>
    <xf numFmtId="2" fontId="0" fillId="2" borderId="7" xfId="0" applyNumberFormat="1" applyFill="1" applyBorder="1" applyAlignment="1">
      <alignment horizontal="center"/>
    </xf>
    <xf numFmtId="0" fontId="0" fillId="2" borderId="8" xfId="0" applyFill="1" applyBorder="1"/>
    <xf numFmtId="0" fontId="0" fillId="4" borderId="9" xfId="0" applyFill="1" applyBorder="1"/>
    <xf numFmtId="0" fontId="0" fillId="4" borderId="10" xfId="0" applyFill="1" applyBorder="1"/>
    <xf numFmtId="0" fontId="0" fillId="4" borderId="11" xfId="0" applyFill="1" applyBorder="1"/>
    <xf numFmtId="0" fontId="0" fillId="0" borderId="0" xfId="0" applyFill="1" applyBorder="1" applyAlignment="1">
      <alignment horizontal="center"/>
    </xf>
    <xf numFmtId="0" fontId="0" fillId="2" borderId="1" xfId="0" applyFill="1" applyBorder="1"/>
    <xf numFmtId="0" fontId="0" fillId="2" borderId="2" xfId="0" applyFill="1" applyBorder="1"/>
    <xf numFmtId="0" fontId="0" fillId="2" borderId="3" xfId="0" applyFill="1" applyBorder="1"/>
    <xf numFmtId="0" fontId="0" fillId="2" borderId="2" xfId="0" applyFill="1" applyBorder="1" applyAlignment="1">
      <alignment horizontal="center"/>
    </xf>
    <xf numFmtId="0" fontId="0" fillId="2" borderId="7" xfId="0" applyFill="1" applyBorder="1" applyAlignment="1">
      <alignment horizontal="center"/>
    </xf>
    <xf numFmtId="12" fontId="0" fillId="2" borderId="0" xfId="0" applyNumberFormat="1" applyFill="1" applyBorder="1" applyAlignment="1">
      <alignment horizontal="center"/>
    </xf>
    <xf numFmtId="12" fontId="0" fillId="0" borderId="0" xfId="0" applyNumberFormat="1"/>
    <xf numFmtId="164" fontId="0" fillId="0" borderId="0" xfId="0" applyNumberFormat="1"/>
    <xf numFmtId="0" fontId="0" fillId="0" borderId="0" xfId="0" applyBorder="1"/>
    <xf numFmtId="2" fontId="6" fillId="2" borderId="0" xfId="0" applyNumberFormat="1" applyFont="1" applyFill="1" applyBorder="1" applyAlignment="1">
      <alignment horizontal="center"/>
    </xf>
    <xf numFmtId="2" fontId="6" fillId="2" borderId="7" xfId="0" applyNumberFormat="1" applyFont="1" applyFill="1" applyBorder="1" applyAlignment="1">
      <alignment horizontal="center"/>
    </xf>
    <xf numFmtId="164" fontId="2" fillId="2" borderId="0" xfId="0" applyNumberFormat="1" applyFont="1" applyFill="1" applyBorder="1" applyAlignment="1">
      <alignment horizontal="center"/>
    </xf>
    <xf numFmtId="0" fontId="5" fillId="0" borderId="0" xfId="0" applyFont="1"/>
    <xf numFmtId="0" fontId="0" fillId="0" borderId="7" xfId="0" applyBorder="1"/>
    <xf numFmtId="1" fontId="0" fillId="2" borderId="0" xfId="0" applyNumberFormat="1" applyFill="1" applyBorder="1" applyAlignment="1">
      <alignment horizontal="center"/>
    </xf>
    <xf numFmtId="0" fontId="0" fillId="2" borderId="0" xfId="0" applyFill="1"/>
    <xf numFmtId="0" fontId="0" fillId="7" borderId="0" xfId="0" applyFill="1"/>
    <xf numFmtId="0" fontId="5" fillId="7" borderId="13" xfId="0" applyFont="1" applyFill="1" applyBorder="1"/>
    <xf numFmtId="0" fontId="0" fillId="7" borderId="14" xfId="0" applyFill="1" applyBorder="1"/>
    <xf numFmtId="0" fontId="0" fillId="7" borderId="15" xfId="0" applyFill="1" applyBorder="1"/>
    <xf numFmtId="0" fontId="0" fillId="7" borderId="16" xfId="0" applyFill="1" applyBorder="1"/>
    <xf numFmtId="0" fontId="0" fillId="7" borderId="0" xfId="0" applyFill="1" applyBorder="1"/>
    <xf numFmtId="164" fontId="0" fillId="7" borderId="17" xfId="0" applyNumberFormat="1" applyFill="1" applyBorder="1"/>
    <xf numFmtId="2" fontId="0" fillId="7" borderId="17" xfId="0" applyNumberFormat="1" applyFill="1" applyBorder="1"/>
    <xf numFmtId="0" fontId="0" fillId="7" borderId="18" xfId="0" applyFill="1" applyBorder="1"/>
    <xf numFmtId="0" fontId="0" fillId="7" borderId="19" xfId="0" applyFill="1" applyBorder="1"/>
    <xf numFmtId="2" fontId="0" fillId="7" borderId="20" xfId="0" applyNumberFormat="1" applyFill="1" applyBorder="1"/>
    <xf numFmtId="13" fontId="0" fillId="7" borderId="17" xfId="0" applyNumberFormat="1" applyFill="1" applyBorder="1"/>
    <xf numFmtId="0" fontId="0" fillId="7" borderId="17" xfId="0" applyFill="1" applyBorder="1"/>
    <xf numFmtId="2" fontId="0" fillId="7" borderId="0" xfId="0" applyNumberFormat="1" applyFill="1"/>
    <xf numFmtId="0" fontId="0" fillId="8" borderId="0" xfId="0" applyFill="1"/>
    <xf numFmtId="2" fontId="0" fillId="8" borderId="0" xfId="0" applyNumberFormat="1" applyFill="1"/>
    <xf numFmtId="164" fontId="0" fillId="8" borderId="0" xfId="0" applyNumberFormat="1" applyFill="1" applyBorder="1"/>
    <xf numFmtId="164" fontId="0" fillId="8" borderId="0" xfId="0" applyNumberFormat="1" applyFont="1" applyFill="1" applyBorder="1"/>
    <xf numFmtId="0" fontId="0" fillId="8" borderId="0" xfId="0" applyFill="1" applyBorder="1"/>
    <xf numFmtId="2" fontId="0" fillId="8" borderId="0" xfId="0" applyNumberFormat="1" applyFill="1" applyBorder="1"/>
    <xf numFmtId="0" fontId="5" fillId="8" borderId="13" xfId="0" applyFont="1" applyFill="1" applyBorder="1"/>
    <xf numFmtId="0" fontId="0" fillId="8" borderId="14" xfId="0" applyFill="1" applyBorder="1"/>
    <xf numFmtId="0" fontId="0" fillId="8" borderId="15" xfId="0" applyFill="1" applyBorder="1"/>
    <xf numFmtId="0" fontId="0" fillId="8" borderId="16" xfId="0" applyFill="1" applyBorder="1"/>
    <xf numFmtId="164" fontId="0" fillId="8" borderId="17" xfId="0" applyNumberFormat="1" applyFill="1" applyBorder="1"/>
    <xf numFmtId="2" fontId="0" fillId="8" borderId="17" xfId="0" applyNumberFormat="1" applyFill="1" applyBorder="1"/>
    <xf numFmtId="0" fontId="0" fillId="8" borderId="18" xfId="0" applyFill="1" applyBorder="1"/>
    <xf numFmtId="0" fontId="0" fillId="8" borderId="19" xfId="0" applyFill="1" applyBorder="1"/>
    <xf numFmtId="2" fontId="0" fillId="8" borderId="20" xfId="0" applyNumberFormat="1" applyFill="1" applyBorder="1"/>
    <xf numFmtId="13" fontId="0" fillId="8" borderId="17" xfId="0" applyNumberFormat="1" applyFill="1" applyBorder="1"/>
    <xf numFmtId="0" fontId="0" fillId="8" borderId="17" xfId="0" applyFill="1" applyBorder="1"/>
    <xf numFmtId="165" fontId="0" fillId="8" borderId="17" xfId="0" applyNumberFormat="1" applyFill="1" applyBorder="1"/>
    <xf numFmtId="0" fontId="0" fillId="9" borderId="0" xfId="0" applyFill="1"/>
    <xf numFmtId="0" fontId="0" fillId="9" borderId="0" xfId="0" applyFill="1" applyBorder="1"/>
    <xf numFmtId="164" fontId="0" fillId="9" borderId="0" xfId="0" applyNumberFormat="1" applyFill="1"/>
    <xf numFmtId="2" fontId="0" fillId="9" borderId="0" xfId="0" applyNumberFormat="1" applyFill="1"/>
    <xf numFmtId="164" fontId="0" fillId="9" borderId="0" xfId="0" applyNumberFormat="1" applyFill="1" applyBorder="1"/>
    <xf numFmtId="164" fontId="0" fillId="9" borderId="0" xfId="0" applyNumberFormat="1" applyFont="1" applyFill="1" applyBorder="1"/>
    <xf numFmtId="2" fontId="0" fillId="9" borderId="0" xfId="0" applyNumberFormat="1" applyFill="1" applyBorder="1"/>
    <xf numFmtId="0" fontId="5" fillId="9" borderId="13" xfId="0" applyFont="1" applyFill="1" applyBorder="1"/>
    <xf numFmtId="0" fontId="0" fillId="9" borderId="14" xfId="0" applyFill="1" applyBorder="1"/>
    <xf numFmtId="0" fontId="0" fillId="9" borderId="15" xfId="0" applyFill="1" applyBorder="1"/>
    <xf numFmtId="0" fontId="0" fillId="9" borderId="16" xfId="0" applyFill="1" applyBorder="1"/>
    <xf numFmtId="164" fontId="0" fillId="9" borderId="17" xfId="0" applyNumberFormat="1" applyFill="1" applyBorder="1"/>
    <xf numFmtId="2" fontId="0" fillId="9" borderId="17" xfId="0" applyNumberFormat="1" applyFill="1" applyBorder="1"/>
    <xf numFmtId="0" fontId="0" fillId="9" borderId="18" xfId="0" applyFill="1" applyBorder="1"/>
    <xf numFmtId="0" fontId="0" fillId="9" borderId="19" xfId="0" applyFill="1" applyBorder="1"/>
    <xf numFmtId="2" fontId="0" fillId="9" borderId="20" xfId="0" applyNumberFormat="1" applyFill="1" applyBorder="1"/>
    <xf numFmtId="13" fontId="0" fillId="9" borderId="17" xfId="0" applyNumberFormat="1" applyFill="1" applyBorder="1"/>
    <xf numFmtId="0" fontId="0" fillId="9" borderId="17" xfId="0" applyFill="1" applyBorder="1"/>
    <xf numFmtId="165" fontId="0" fillId="9" borderId="17" xfId="0" applyNumberFormat="1" applyFill="1" applyBorder="1"/>
    <xf numFmtId="0" fontId="5" fillId="2" borderId="0" xfId="0" applyFont="1" applyFill="1"/>
    <xf numFmtId="0" fontId="11" fillId="2" borderId="0" xfId="0" applyFont="1" applyFill="1"/>
    <xf numFmtId="2" fontId="0" fillId="2" borderId="0" xfId="0" applyNumberFormat="1" applyFill="1"/>
    <xf numFmtId="0" fontId="5" fillId="8" borderId="0" xfId="0" applyFont="1" applyFill="1"/>
    <xf numFmtId="0" fontId="6" fillId="2" borderId="0" xfId="0" applyFont="1" applyFill="1" applyBorder="1" applyAlignment="1">
      <alignment horizontal="center"/>
    </xf>
    <xf numFmtId="0" fontId="24" fillId="13" borderId="0" xfId="0" applyFont="1" applyFill="1"/>
    <xf numFmtId="0" fontId="25" fillId="13" borderId="0" xfId="0" applyFont="1" applyFill="1"/>
    <xf numFmtId="0" fontId="25" fillId="0" borderId="0" xfId="0" applyFont="1"/>
    <xf numFmtId="0" fontId="26" fillId="13" borderId="0" xfId="0" applyFont="1" applyFill="1"/>
    <xf numFmtId="2" fontId="25" fillId="0" borderId="0" xfId="0" applyNumberFormat="1" applyFont="1" applyAlignment="1">
      <alignment horizontal="center"/>
    </xf>
    <xf numFmtId="0" fontId="25" fillId="0" borderId="12" xfId="0" applyFont="1" applyBorder="1"/>
    <xf numFmtId="0" fontId="25" fillId="0" borderId="21" xfId="0" applyFont="1" applyBorder="1"/>
    <xf numFmtId="0" fontId="25" fillId="0" borderId="0" xfId="0" applyFont="1" applyAlignment="1">
      <alignment horizontal="center"/>
    </xf>
    <xf numFmtId="0" fontId="25" fillId="0" borderId="0" xfId="0" applyFont="1" applyAlignment="1">
      <alignment horizontal="right"/>
    </xf>
    <xf numFmtId="2" fontId="25" fillId="0" borderId="0" xfId="0" applyNumberFormat="1" applyFont="1"/>
    <xf numFmtId="0" fontId="25" fillId="0" borderId="0" xfId="0" applyFont="1" applyFill="1"/>
    <xf numFmtId="0" fontId="25" fillId="0" borderId="37" xfId="0" applyFont="1" applyBorder="1"/>
    <xf numFmtId="0" fontId="25" fillId="0" borderId="13" xfId="0" applyFont="1" applyBorder="1"/>
    <xf numFmtId="0" fontId="25" fillId="0" borderId="15" xfId="0" applyFont="1" applyBorder="1"/>
    <xf numFmtId="0" fontId="25" fillId="0" borderId="18" xfId="0" applyFont="1" applyBorder="1"/>
    <xf numFmtId="0" fontId="25" fillId="0" borderId="20" xfId="0" applyFont="1" applyBorder="1"/>
    <xf numFmtId="0" fontId="25" fillId="0" borderId="14" xfId="0" applyFont="1" applyBorder="1"/>
    <xf numFmtId="0" fontId="25" fillId="0" borderId="19" xfId="0" applyFont="1" applyBorder="1"/>
    <xf numFmtId="0" fontId="25" fillId="0" borderId="16" xfId="0" applyFont="1" applyBorder="1"/>
    <xf numFmtId="0" fontId="25" fillId="0" borderId="0" xfId="0" applyFont="1" applyBorder="1"/>
    <xf numFmtId="0" fontId="25" fillId="0" borderId="17" xfId="0" applyFont="1" applyBorder="1"/>
    <xf numFmtId="0" fontId="25" fillId="0" borderId="30" xfId="0" applyFont="1" applyBorder="1"/>
    <xf numFmtId="0" fontId="0" fillId="2" borderId="0" xfId="0" applyFill="1" applyBorder="1" applyAlignment="1">
      <alignment horizontal="right"/>
    </xf>
    <xf numFmtId="0" fontId="0" fillId="0" borderId="18" xfId="0" applyBorder="1"/>
    <xf numFmtId="0" fontId="0" fillId="0" borderId="19" xfId="0" applyBorder="1"/>
    <xf numFmtId="0" fontId="0" fillId="4" borderId="13" xfId="0" applyFill="1" applyBorder="1"/>
    <xf numFmtId="0" fontId="0" fillId="4" borderId="14" xfId="0" applyFill="1" applyBorder="1"/>
    <xf numFmtId="0" fontId="0" fillId="4" borderId="18" xfId="0" applyFill="1" applyBorder="1"/>
    <xf numFmtId="0" fontId="0" fillId="4" borderId="19" xfId="0" applyFill="1" applyBorder="1"/>
    <xf numFmtId="0" fontId="0" fillId="4" borderId="16" xfId="0" applyFill="1" applyBorder="1"/>
    <xf numFmtId="0" fontId="0" fillId="4" borderId="0" xfId="0" applyFill="1" applyBorder="1"/>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4" borderId="19" xfId="0" quotePrefix="1" applyFill="1" applyBorder="1" applyAlignment="1">
      <alignment horizontal="center"/>
    </xf>
    <xf numFmtId="0" fontId="0" fillId="4" borderId="20" xfId="0" applyFill="1" applyBorder="1" applyAlignment="1">
      <alignment horizontal="center"/>
    </xf>
    <xf numFmtId="0" fontId="25" fillId="0" borderId="0" xfId="0" applyFont="1" applyAlignment="1">
      <alignment horizontal="left"/>
    </xf>
    <xf numFmtId="164" fontId="25" fillId="0" borderId="0" xfId="0" applyNumberFormat="1" applyFont="1" applyAlignment="1">
      <alignment horizontal="center"/>
    </xf>
    <xf numFmtId="164" fontId="6" fillId="2" borderId="0" xfId="0" applyNumberFormat="1" applyFont="1" applyFill="1" applyBorder="1" applyAlignment="1">
      <alignment horizontal="center"/>
    </xf>
    <xf numFmtId="0" fontId="3" fillId="0" borderId="0" xfId="0" applyFont="1" applyFill="1" applyBorder="1"/>
    <xf numFmtId="0" fontId="4" fillId="0" borderId="0" xfId="0" applyFont="1" applyFill="1" applyBorder="1"/>
    <xf numFmtId="0" fontId="28" fillId="15" borderId="19" xfId="0" applyFont="1" applyFill="1" applyBorder="1"/>
    <xf numFmtId="0" fontId="4" fillId="0" borderId="19" xfId="0" applyFont="1" applyFill="1" applyBorder="1"/>
    <xf numFmtId="0" fontId="4" fillId="0" borderId="18" xfId="0" applyFont="1" applyFill="1" applyBorder="1"/>
    <xf numFmtId="0" fontId="4" fillId="0" borderId="16" xfId="0" applyFont="1" applyFill="1" applyBorder="1"/>
    <xf numFmtId="0" fontId="0" fillId="0" borderId="0" xfId="0" applyAlignment="1">
      <alignment wrapText="1"/>
    </xf>
    <xf numFmtId="0" fontId="0" fillId="0" borderId="0" xfId="0" applyFont="1" applyAlignment="1">
      <alignment wrapText="1"/>
    </xf>
    <xf numFmtId="0" fontId="0" fillId="0" borderId="0" xfId="0" applyAlignment="1">
      <alignment horizontal="center"/>
    </xf>
    <xf numFmtId="0" fontId="0" fillId="0" borderId="0" xfId="0" applyAlignment="1">
      <alignment horizontal="left" wrapText="1"/>
    </xf>
    <xf numFmtId="0" fontId="0" fillId="0" borderId="0" xfId="0" applyAlignment="1">
      <alignment vertical="top" wrapText="1"/>
    </xf>
    <xf numFmtId="0" fontId="5" fillId="0" borderId="0" xfId="0" applyFont="1" applyAlignment="1">
      <alignment vertical="top" wrapText="1"/>
    </xf>
    <xf numFmtId="0" fontId="17"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2" fontId="4" fillId="0" borderId="0" xfId="0" applyNumberFormat="1" applyFont="1" applyFill="1" applyBorder="1" applyAlignment="1">
      <alignment horizontal="center"/>
    </xf>
    <xf numFmtId="0" fontId="17" fillId="15" borderId="19" xfId="0" applyFont="1" applyFill="1" applyBorder="1"/>
    <xf numFmtId="0" fontId="4" fillId="0" borderId="0" xfId="0" applyFont="1" applyBorder="1"/>
    <xf numFmtId="0" fontId="4" fillId="0" borderId="0" xfId="0" applyFont="1"/>
    <xf numFmtId="0" fontId="4" fillId="0" borderId="19" xfId="0" applyFont="1" applyBorder="1"/>
    <xf numFmtId="0" fontId="4" fillId="0" borderId="16" xfId="0" applyFont="1" applyBorder="1"/>
    <xf numFmtId="2" fontId="4" fillId="0" borderId="19" xfId="0" applyNumberFormat="1" applyFont="1" applyBorder="1" applyAlignment="1">
      <alignment horizontal="center"/>
    </xf>
    <xf numFmtId="0" fontId="28" fillId="0" borderId="0" xfId="0" applyFont="1" applyFill="1" applyBorder="1"/>
    <xf numFmtId="0" fontId="4" fillId="0" borderId="0" xfId="0" applyFont="1" applyBorder="1" applyAlignment="1">
      <alignment horizontal="center"/>
    </xf>
    <xf numFmtId="2" fontId="4" fillId="0" borderId="0" xfId="0" applyNumberFormat="1" applyFont="1" applyBorder="1" applyAlignment="1">
      <alignment horizontal="center"/>
    </xf>
    <xf numFmtId="2" fontId="4" fillId="0" borderId="14" xfId="0" applyNumberFormat="1" applyFont="1" applyFill="1" applyBorder="1" applyAlignment="1">
      <alignment horizontal="center"/>
    </xf>
    <xf numFmtId="0" fontId="0" fillId="0" borderId="12" xfId="0" applyBorder="1"/>
    <xf numFmtId="0" fontId="17" fillId="0" borderId="16" xfId="0" applyFont="1" applyFill="1" applyBorder="1" applyAlignment="1">
      <alignment horizontal="center"/>
    </xf>
    <xf numFmtId="0" fontId="11" fillId="0" borderId="16" xfId="0" applyFont="1" applyFill="1" applyBorder="1" applyAlignment="1">
      <alignment horizontal="center"/>
    </xf>
    <xf numFmtId="2" fontId="4" fillId="0" borderId="18" xfId="0" applyNumberFormat="1" applyFont="1" applyBorder="1" applyAlignment="1">
      <alignment horizontal="center"/>
    </xf>
    <xf numFmtId="0" fontId="4" fillId="0" borderId="18" xfId="0" applyFont="1" applyBorder="1"/>
    <xf numFmtId="0" fontId="4" fillId="0" borderId="16" xfId="0" applyFont="1" applyFill="1" applyBorder="1" applyAlignment="1">
      <alignment horizontal="center"/>
    </xf>
    <xf numFmtId="0" fontId="4" fillId="0" borderId="16" xfId="0" applyFont="1" applyBorder="1" applyAlignment="1">
      <alignment horizontal="center"/>
    </xf>
    <xf numFmtId="0" fontId="5" fillId="9" borderId="0" xfId="0" applyFont="1" applyFill="1"/>
    <xf numFmtId="2" fontId="0" fillId="0" borderId="12" xfId="0" applyNumberFormat="1" applyBorder="1" applyAlignment="1">
      <alignment horizontal="center"/>
    </xf>
    <xf numFmtId="2" fontId="0" fillId="2" borderId="14" xfId="0" applyNumberFormat="1" applyFill="1" applyBorder="1" applyAlignment="1">
      <alignment horizontal="center"/>
    </xf>
    <xf numFmtId="2" fontId="0" fillId="2" borderId="19" xfId="0" applyNumberFormat="1" applyFill="1" applyBorder="1" applyAlignment="1">
      <alignment horizontal="center"/>
    </xf>
    <xf numFmtId="2" fontId="0" fillId="2" borderId="15" xfId="0" applyNumberFormat="1" applyFill="1" applyBorder="1" applyAlignment="1">
      <alignment horizontal="center"/>
    </xf>
    <xf numFmtId="2" fontId="0" fillId="2" borderId="17" xfId="0" applyNumberFormat="1" applyFill="1" applyBorder="1" applyAlignment="1">
      <alignment horizontal="center"/>
    </xf>
    <xf numFmtId="2" fontId="0" fillId="2" borderId="20" xfId="0" applyNumberFormat="1" applyFill="1" applyBorder="1" applyAlignment="1">
      <alignment horizontal="center"/>
    </xf>
    <xf numFmtId="2" fontId="0" fillId="2" borderId="13" xfId="0" applyNumberFormat="1" applyFill="1" applyBorder="1" applyAlignment="1">
      <alignment horizontal="center"/>
    </xf>
    <xf numFmtId="2" fontId="0" fillId="2" borderId="16" xfId="0" applyNumberFormat="1" applyFill="1" applyBorder="1" applyAlignment="1">
      <alignment horizontal="center"/>
    </xf>
    <xf numFmtId="2" fontId="0" fillId="2" borderId="18" xfId="0" applyNumberFormat="1" applyFont="1" applyFill="1" applyBorder="1" applyAlignment="1">
      <alignment horizontal="center"/>
    </xf>
    <xf numFmtId="3" fontId="0" fillId="0" borderId="0" xfId="0" applyNumberFormat="1"/>
    <xf numFmtId="0" fontId="29" fillId="0" borderId="0" xfId="1"/>
    <xf numFmtId="14" fontId="0" fillId="0" borderId="0" xfId="0" applyNumberFormat="1"/>
    <xf numFmtId="0" fontId="0" fillId="0" borderId="21" xfId="0" applyBorder="1"/>
    <xf numFmtId="0" fontId="0" fillId="0" borderId="38" xfId="0" applyBorder="1"/>
    <xf numFmtId="0" fontId="0" fillId="0" borderId="39" xfId="0" applyBorder="1"/>
    <xf numFmtId="0" fontId="17" fillId="0" borderId="0" xfId="0" applyFont="1" applyFill="1" applyBorder="1" applyAlignment="1">
      <alignment horizontal="center" wrapText="1"/>
    </xf>
    <xf numFmtId="0" fontId="5" fillId="0" borderId="0" xfId="0" applyFont="1" applyAlignment="1">
      <alignment wrapText="1"/>
    </xf>
    <xf numFmtId="0" fontId="2" fillId="0" borderId="0" xfId="0" applyFont="1" applyBorder="1"/>
    <xf numFmtId="0" fontId="32" fillId="0" borderId="41" xfId="0" applyFont="1" applyFill="1" applyBorder="1"/>
    <xf numFmtId="0" fontId="32" fillId="0" borderId="22" xfId="0" applyFont="1" applyFill="1" applyBorder="1" applyAlignment="1">
      <alignment horizontal="center"/>
    </xf>
    <xf numFmtId="0" fontId="32" fillId="0" borderId="22" xfId="0" applyFont="1" applyFill="1" applyBorder="1"/>
    <xf numFmtId="0" fontId="32" fillId="0" borderId="24" xfId="0" applyFont="1" applyFill="1" applyBorder="1"/>
    <xf numFmtId="0" fontId="32" fillId="0" borderId="0" xfId="0" applyFont="1" applyFill="1"/>
    <xf numFmtId="0" fontId="33" fillId="15" borderId="42" xfId="0" applyFont="1" applyFill="1" applyBorder="1"/>
    <xf numFmtId="0" fontId="32" fillId="0" borderId="21" xfId="0" applyFont="1" applyFill="1" applyBorder="1" applyAlignment="1">
      <alignment horizontal="center"/>
    </xf>
    <xf numFmtId="0" fontId="32" fillId="0" borderId="21" xfId="0" applyFont="1" applyFill="1" applyBorder="1"/>
    <xf numFmtId="164" fontId="32" fillId="0" borderId="21" xfId="0" applyNumberFormat="1" applyFont="1" applyFill="1" applyBorder="1"/>
    <xf numFmtId="0" fontId="32" fillId="0" borderId="40" xfId="0" applyFont="1" applyFill="1" applyBorder="1"/>
    <xf numFmtId="0" fontId="32" fillId="0" borderId="19" xfId="0" applyFont="1" applyFill="1" applyBorder="1"/>
    <xf numFmtId="0" fontId="32" fillId="0" borderId="43" xfId="0" applyFont="1" applyFill="1" applyBorder="1"/>
    <xf numFmtId="0" fontId="32" fillId="0" borderId="30" xfId="0" applyFont="1" applyFill="1" applyBorder="1" applyAlignment="1">
      <alignment horizontal="center"/>
    </xf>
    <xf numFmtId="0" fontId="32" fillId="0" borderId="30" xfId="0" applyFont="1" applyFill="1" applyBorder="1"/>
    <xf numFmtId="0" fontId="32" fillId="0" borderId="31" xfId="0" applyFont="1" applyFill="1" applyBorder="1"/>
    <xf numFmtId="164" fontId="32" fillId="0" borderId="30" xfId="0" applyNumberFormat="1" applyFont="1" applyFill="1" applyBorder="1" applyAlignment="1">
      <alignment horizontal="center"/>
    </xf>
    <xf numFmtId="2" fontId="32" fillId="0" borderId="30" xfId="0" applyNumberFormat="1" applyFont="1" applyFill="1" applyBorder="1" applyAlignment="1">
      <alignment horizontal="center"/>
    </xf>
    <xf numFmtId="164" fontId="32" fillId="0" borderId="30" xfId="0" applyNumberFormat="1" applyFont="1" applyFill="1" applyBorder="1"/>
    <xf numFmtId="0" fontId="32" fillId="0" borderId="44" xfId="0" applyFont="1" applyFill="1" applyBorder="1"/>
    <xf numFmtId="0" fontId="32" fillId="0" borderId="26" xfId="0" applyFont="1" applyFill="1" applyBorder="1" applyAlignment="1">
      <alignment horizontal="center"/>
    </xf>
    <xf numFmtId="0" fontId="32" fillId="0" borderId="26" xfId="0" applyFont="1" applyFill="1" applyBorder="1"/>
    <xf numFmtId="2" fontId="32" fillId="0" borderId="26" xfId="0" applyNumberFormat="1" applyFont="1" applyFill="1" applyBorder="1" applyAlignment="1">
      <alignment horizontal="center"/>
    </xf>
    <xf numFmtId="0" fontId="32" fillId="0" borderId="28" xfId="0" applyFont="1" applyFill="1" applyBorder="1"/>
    <xf numFmtId="0" fontId="32" fillId="0" borderId="0" xfId="0" applyFont="1" applyFill="1" applyBorder="1"/>
    <xf numFmtId="0" fontId="32" fillId="0" borderId="0" xfId="0" applyFont="1" applyFill="1" applyBorder="1" applyAlignment="1">
      <alignment horizontal="center"/>
    </xf>
    <xf numFmtId="0" fontId="4" fillId="0" borderId="17" xfId="0" applyFont="1" applyBorder="1"/>
    <xf numFmtId="0" fontId="28" fillId="0" borderId="0" xfId="0" applyFont="1" applyAlignment="1">
      <alignment horizontal="center"/>
    </xf>
    <xf numFmtId="0" fontId="28" fillId="15" borderId="20" xfId="0" applyFont="1" applyFill="1" applyBorder="1"/>
    <xf numFmtId="0" fontId="4" fillId="0" borderId="19" xfId="0" applyFont="1" applyBorder="1" applyAlignment="1">
      <alignment horizontal="center"/>
    </xf>
    <xf numFmtId="2" fontId="4" fillId="0" borderId="0" xfId="0" applyNumberFormat="1" applyFont="1" applyAlignment="1">
      <alignment horizontal="center"/>
    </xf>
    <xf numFmtId="0" fontId="4" fillId="0" borderId="0" xfId="0" applyFont="1" applyAlignment="1">
      <alignment horizontal="center"/>
    </xf>
    <xf numFmtId="0" fontId="2" fillId="0" borderId="0" xfId="0" applyFont="1" applyAlignment="1">
      <alignment wrapText="1"/>
    </xf>
    <xf numFmtId="0" fontId="30" fillId="13" borderId="12" xfId="0" applyFont="1" applyFill="1" applyBorder="1" applyAlignment="1">
      <alignment horizontal="center"/>
    </xf>
    <xf numFmtId="0" fontId="30" fillId="13" borderId="33" xfId="0" applyFont="1" applyFill="1" applyBorder="1" applyAlignment="1">
      <alignment horizontal="center"/>
    </xf>
    <xf numFmtId="13" fontId="30" fillId="13" borderId="21" xfId="0" applyNumberFormat="1" applyFont="1" applyFill="1" applyBorder="1" applyAlignment="1">
      <alignment horizontal="center"/>
    </xf>
    <xf numFmtId="1" fontId="30" fillId="13" borderId="12" xfId="0" applyNumberFormat="1" applyFont="1" applyFill="1" applyBorder="1" applyAlignment="1">
      <alignment horizontal="center"/>
    </xf>
    <xf numFmtId="2" fontId="30" fillId="13" borderId="12" xfId="0" applyNumberFormat="1" applyFont="1" applyFill="1" applyBorder="1" applyAlignment="1">
      <alignment horizontal="center"/>
    </xf>
    <xf numFmtId="0" fontId="30" fillId="13" borderId="2" xfId="0" applyFont="1" applyFill="1" applyBorder="1" applyAlignment="1">
      <alignment horizontal="center"/>
    </xf>
    <xf numFmtId="164" fontId="30" fillId="13" borderId="21" xfId="0" applyNumberFormat="1" applyFont="1" applyFill="1" applyBorder="1" applyAlignment="1">
      <alignment horizontal="center"/>
    </xf>
    <xf numFmtId="0" fontId="30" fillId="13" borderId="10" xfId="0" applyFont="1" applyFill="1" applyBorder="1" applyAlignment="1">
      <alignment horizontal="center"/>
    </xf>
    <xf numFmtId="0" fontId="30" fillId="13" borderId="2" xfId="0" applyFont="1" applyFill="1" applyBorder="1" applyAlignment="1">
      <alignment horizontal="right"/>
    </xf>
    <xf numFmtId="0" fontId="30" fillId="13" borderId="0" xfId="0" applyFont="1" applyFill="1"/>
    <xf numFmtId="0" fontId="0" fillId="13" borderId="0" xfId="0" applyFill="1"/>
    <xf numFmtId="0" fontId="18" fillId="2" borderId="33" xfId="0" applyFont="1" applyFill="1" applyBorder="1" applyAlignment="1" applyProtection="1">
      <alignment horizontal="center"/>
    </xf>
    <xf numFmtId="0" fontId="18" fillId="2" borderId="34" xfId="0" applyFont="1" applyFill="1" applyBorder="1" applyAlignment="1" applyProtection="1">
      <alignment horizontal="center"/>
    </xf>
    <xf numFmtId="0" fontId="18" fillId="2" borderId="35" xfId="0" applyFont="1" applyFill="1" applyBorder="1" applyAlignment="1" applyProtection="1">
      <alignment horizontal="center"/>
    </xf>
    <xf numFmtId="2" fontId="0" fillId="2" borderId="4" xfId="0" applyNumberFormat="1" applyFill="1" applyBorder="1" applyAlignment="1" applyProtection="1">
      <alignment horizontal="center"/>
    </xf>
    <xf numFmtId="2" fontId="0" fillId="2" borderId="30" xfId="0" applyNumberFormat="1" applyFill="1" applyBorder="1" applyAlignment="1" applyProtection="1">
      <alignment horizontal="center"/>
    </xf>
    <xf numFmtId="0" fontId="11" fillId="2" borderId="30" xfId="0" applyFont="1" applyFill="1" applyBorder="1" applyAlignment="1" applyProtection="1">
      <alignment horizontal="center"/>
    </xf>
    <xf numFmtId="164" fontId="0" fillId="2" borderId="30" xfId="0" applyNumberFormat="1" applyFill="1" applyBorder="1" applyAlignment="1" applyProtection="1">
      <alignment horizontal="center"/>
    </xf>
    <xf numFmtId="164" fontId="0" fillId="2" borderId="16" xfId="0" applyNumberFormat="1" applyFill="1" applyBorder="1" applyAlignment="1" applyProtection="1">
      <alignment horizontal="center"/>
    </xf>
    <xf numFmtId="164" fontId="0" fillId="2" borderId="31" xfId="0" applyNumberFormat="1" applyFill="1" applyBorder="1" applyAlignment="1" applyProtection="1">
      <alignment horizontal="center"/>
    </xf>
    <xf numFmtId="164" fontId="0" fillId="2" borderId="0" xfId="0" applyNumberFormat="1" applyFill="1" applyAlignment="1" applyProtection="1">
      <alignment horizontal="center"/>
    </xf>
    <xf numFmtId="164" fontId="0" fillId="2" borderId="32" xfId="0" applyNumberFormat="1" applyFill="1" applyBorder="1" applyAlignment="1" applyProtection="1">
      <alignment horizontal="center"/>
    </xf>
    <xf numFmtId="0" fontId="0" fillId="2" borderId="30" xfId="0" applyFill="1" applyBorder="1" applyAlignment="1" applyProtection="1">
      <alignment horizontal="center"/>
    </xf>
    <xf numFmtId="2" fontId="11" fillId="2" borderId="30" xfId="0" applyNumberFormat="1" applyFont="1" applyFill="1" applyBorder="1" applyAlignment="1" applyProtection="1">
      <alignment horizontal="center"/>
    </xf>
    <xf numFmtId="2" fontId="0" fillId="2" borderId="6" xfId="0" applyNumberFormat="1" applyFill="1" applyBorder="1" applyAlignment="1" applyProtection="1">
      <alignment horizontal="center"/>
    </xf>
    <xf numFmtId="2" fontId="11" fillId="2" borderId="26" xfId="0" applyNumberFormat="1" applyFont="1" applyFill="1" applyBorder="1" applyAlignment="1" applyProtection="1">
      <alignment horizontal="center"/>
    </xf>
    <xf numFmtId="2" fontId="0" fillId="2" borderId="26" xfId="0" applyNumberFormat="1" applyFill="1" applyBorder="1" applyAlignment="1" applyProtection="1">
      <alignment horizontal="center"/>
    </xf>
    <xf numFmtId="0" fontId="11" fillId="2" borderId="26" xfId="0" applyFont="1" applyFill="1" applyBorder="1" applyAlignment="1" applyProtection="1">
      <alignment horizontal="center"/>
    </xf>
    <xf numFmtId="164" fontId="0" fillId="2" borderId="26" xfId="0" applyNumberFormat="1" applyFill="1" applyBorder="1" applyAlignment="1" applyProtection="1">
      <alignment horizontal="center"/>
    </xf>
    <xf numFmtId="0" fontId="0" fillId="2" borderId="26" xfId="0" applyFill="1" applyBorder="1" applyAlignment="1" applyProtection="1">
      <alignment horizontal="center"/>
    </xf>
    <xf numFmtId="164" fontId="0" fillId="2" borderId="27" xfId="0" applyNumberFormat="1" applyFill="1" applyBorder="1" applyAlignment="1" applyProtection="1">
      <alignment horizontal="center"/>
    </xf>
    <xf numFmtId="164" fontId="0" fillId="2" borderId="28" xfId="0" applyNumberFormat="1" applyFill="1" applyBorder="1" applyAlignment="1" applyProtection="1">
      <alignment horizontal="center"/>
    </xf>
    <xf numFmtId="164" fontId="0" fillId="2" borderId="7" xfId="0" applyNumberFormat="1" applyFill="1" applyBorder="1" applyAlignment="1" applyProtection="1">
      <alignment horizontal="center"/>
    </xf>
    <xf numFmtId="164" fontId="0" fillId="2" borderId="29" xfId="0" applyNumberFormat="1" applyFill="1" applyBorder="1" applyAlignment="1" applyProtection="1">
      <alignment horizontal="center"/>
    </xf>
    <xf numFmtId="0" fontId="0" fillId="0" borderId="0" xfId="0" applyProtection="1">
      <protection locked="0"/>
    </xf>
    <xf numFmtId="0" fontId="19" fillId="0" borderId="0" xfId="0" applyFont="1" applyProtection="1">
      <protection locked="0"/>
    </xf>
    <xf numFmtId="0" fontId="23" fillId="0" borderId="0" xfId="0" applyFont="1" applyProtection="1">
      <protection locked="0"/>
    </xf>
    <xf numFmtId="0" fontId="11" fillId="0" borderId="0" xfId="0" applyFont="1" applyProtection="1">
      <protection locked="0"/>
    </xf>
    <xf numFmtId="2" fontId="0" fillId="0" borderId="0" xfId="0" applyNumberFormat="1" applyProtection="1">
      <protection locked="0"/>
    </xf>
    <xf numFmtId="0" fontId="0" fillId="0" borderId="0" xfId="0" applyFill="1" applyBorder="1" applyProtection="1">
      <protection locked="0"/>
    </xf>
    <xf numFmtId="0" fontId="6" fillId="0" borderId="0" xfId="0" applyFont="1" applyProtection="1">
      <protection locked="0"/>
    </xf>
    <xf numFmtId="2" fontId="30" fillId="13" borderId="12" xfId="0" applyNumberFormat="1" applyFont="1" applyFill="1" applyBorder="1" applyAlignment="1" applyProtection="1">
      <alignment horizontal="center"/>
      <protection locked="0"/>
    </xf>
    <xf numFmtId="0" fontId="0" fillId="0" borderId="0" xfId="0" applyFill="1" applyProtection="1">
      <protection locked="0"/>
    </xf>
    <xf numFmtId="0" fontId="11" fillId="0" borderId="0" xfId="0" quotePrefix="1" applyFont="1" applyProtection="1">
      <protection locked="0"/>
    </xf>
    <xf numFmtId="0" fontId="2" fillId="0" borderId="0" xfId="0" applyFont="1" applyProtection="1">
      <protection locked="0"/>
    </xf>
    <xf numFmtId="2" fontId="4" fillId="0" borderId="0" xfId="0" applyNumberFormat="1" applyFont="1" applyProtection="1">
      <protection locked="0"/>
    </xf>
    <xf numFmtId="0" fontId="2" fillId="0" borderId="0" xfId="0" applyFont="1" applyFill="1" applyBorder="1" applyProtection="1">
      <protection locked="0"/>
    </xf>
    <xf numFmtId="0" fontId="11" fillId="12" borderId="1" xfId="0" applyFont="1" applyFill="1" applyBorder="1" applyAlignment="1" applyProtection="1">
      <alignment horizontal="center" vertical="center" wrapText="1"/>
      <protection locked="0"/>
    </xf>
    <xf numFmtId="0" fontId="11" fillId="12" borderId="22" xfId="0" applyFont="1" applyFill="1" applyBorder="1" applyAlignment="1" applyProtection="1">
      <alignment horizontal="center" vertical="center" wrapText="1"/>
      <protection locked="0"/>
    </xf>
    <xf numFmtId="0" fontId="11" fillId="12" borderId="22" xfId="0" applyFont="1" applyFill="1" applyBorder="1" applyAlignment="1" applyProtection="1">
      <alignment horizontal="center" vertical="center"/>
      <protection locked="0"/>
    </xf>
    <xf numFmtId="0" fontId="14" fillId="12" borderId="22" xfId="0" applyFont="1" applyFill="1" applyBorder="1" applyAlignment="1" applyProtection="1">
      <alignment horizontal="center" vertical="center" wrapText="1"/>
      <protection locked="0"/>
    </xf>
    <xf numFmtId="0" fontId="11" fillId="12" borderId="23" xfId="0" applyFont="1" applyFill="1" applyBorder="1" applyAlignment="1" applyProtection="1">
      <alignment horizontal="center" vertical="center" wrapText="1"/>
      <protection locked="0"/>
    </xf>
    <xf numFmtId="0" fontId="11" fillId="12" borderId="24" xfId="0" applyFont="1" applyFill="1" applyBorder="1" applyAlignment="1" applyProtection="1">
      <alignment horizontal="center" vertical="center" wrapText="1"/>
      <protection locked="0"/>
    </xf>
    <xf numFmtId="0" fontId="11" fillId="12" borderId="25" xfId="0" applyFont="1" applyFill="1" applyBorder="1" applyAlignment="1" applyProtection="1">
      <alignment horizontal="center" vertical="center" wrapText="1"/>
      <protection locked="0"/>
    </xf>
    <xf numFmtId="0" fontId="11" fillId="12" borderId="6" xfId="0" applyFont="1" applyFill="1" applyBorder="1" applyAlignment="1" applyProtection="1">
      <alignment horizontal="center"/>
      <protection locked="0"/>
    </xf>
    <xf numFmtId="0" fontId="11" fillId="12" borderId="26" xfId="0" applyFont="1" applyFill="1" applyBorder="1" applyAlignment="1" applyProtection="1">
      <alignment horizontal="center"/>
      <protection locked="0"/>
    </xf>
    <xf numFmtId="0" fontId="0" fillId="12" borderId="26" xfId="0" applyFill="1" applyBorder="1" applyAlignment="1" applyProtection="1">
      <alignment horizontal="center"/>
      <protection locked="0"/>
    </xf>
    <xf numFmtId="0" fontId="11" fillId="12" borderId="27" xfId="0" applyFont="1" applyFill="1" applyBorder="1" applyAlignment="1" applyProtection="1">
      <alignment horizontal="center"/>
      <protection locked="0"/>
    </xf>
    <xf numFmtId="0" fontId="11" fillId="12" borderId="28" xfId="0" applyFont="1" applyFill="1" applyBorder="1" applyAlignment="1" applyProtection="1">
      <alignment horizontal="center"/>
      <protection locked="0"/>
    </xf>
    <xf numFmtId="0" fontId="0" fillId="12" borderId="29" xfId="0" applyFill="1" applyBorder="1" applyProtection="1">
      <protection locked="0"/>
    </xf>
    <xf numFmtId="0" fontId="11" fillId="12" borderId="29" xfId="0" applyFont="1" applyFill="1" applyBorder="1" applyAlignment="1" applyProtection="1">
      <alignment horizontal="center"/>
      <protection locked="0"/>
    </xf>
    <xf numFmtId="0" fontId="11" fillId="0" borderId="0" xfId="0" applyFont="1" applyAlignment="1" applyProtection="1">
      <alignment horizontal="center"/>
      <protection locked="0"/>
    </xf>
    <xf numFmtId="2" fontId="0" fillId="2" borderId="4" xfId="0" applyNumberFormat="1" applyFill="1" applyBorder="1" applyAlignment="1" applyProtection="1">
      <alignment horizontal="center"/>
      <protection locked="0"/>
    </xf>
    <xf numFmtId="2" fontId="3" fillId="13" borderId="30" xfId="0" applyNumberFormat="1" applyFont="1" applyFill="1" applyBorder="1" applyAlignment="1" applyProtection="1">
      <alignment horizontal="center"/>
      <protection locked="0"/>
    </xf>
    <xf numFmtId="164" fontId="30" fillId="13" borderId="30" xfId="0" applyNumberFormat="1" applyFont="1" applyFill="1" applyBorder="1" applyAlignment="1" applyProtection="1">
      <alignment horizontal="center"/>
      <protection locked="0"/>
    </xf>
    <xf numFmtId="164" fontId="30" fillId="13" borderId="16" xfId="0" applyNumberFormat="1" applyFont="1" applyFill="1" applyBorder="1" applyAlignment="1" applyProtection="1">
      <alignment horizontal="center"/>
      <protection locked="0"/>
    </xf>
    <xf numFmtId="164" fontId="30" fillId="13" borderId="31" xfId="0" applyNumberFormat="1" applyFont="1" applyFill="1" applyBorder="1" applyAlignment="1" applyProtection="1">
      <alignment horizontal="center"/>
      <protection locked="0"/>
    </xf>
    <xf numFmtId="2" fontId="30" fillId="13" borderId="30" xfId="0" applyNumberFormat="1" applyFont="1" applyFill="1" applyBorder="1" applyAlignment="1" applyProtection="1">
      <alignment horizontal="center"/>
      <protection locked="0"/>
    </xf>
    <xf numFmtId="0" fontId="3" fillId="13" borderId="30" xfId="0" applyFont="1" applyFill="1" applyBorder="1" applyAlignment="1" applyProtection="1">
      <alignment horizontal="center"/>
      <protection locked="0"/>
    </xf>
    <xf numFmtId="164" fontId="0" fillId="0" borderId="0" xfId="0" applyNumberFormat="1" applyProtection="1">
      <protection locked="0"/>
    </xf>
    <xf numFmtId="2" fontId="0" fillId="2" borderId="6" xfId="0" applyNumberFormat="1" applyFill="1" applyBorder="1" applyAlignment="1" applyProtection="1">
      <alignment horizontal="center"/>
      <protection locked="0"/>
    </xf>
    <xf numFmtId="2" fontId="30" fillId="13" borderId="26" xfId="0" applyNumberFormat="1" applyFont="1" applyFill="1" applyBorder="1" applyAlignment="1" applyProtection="1">
      <alignment horizontal="center"/>
      <protection locked="0"/>
    </xf>
    <xf numFmtId="0" fontId="3" fillId="13" borderId="26" xfId="0" applyFont="1" applyFill="1" applyBorder="1" applyAlignment="1" applyProtection="1">
      <alignment horizontal="center"/>
      <protection locked="0"/>
    </xf>
    <xf numFmtId="164" fontId="30" fillId="13" borderId="26" xfId="0" applyNumberFormat="1" applyFont="1" applyFill="1" applyBorder="1" applyAlignment="1" applyProtection="1">
      <alignment horizontal="center"/>
      <protection locked="0"/>
    </xf>
    <xf numFmtId="164" fontId="30" fillId="13" borderId="27" xfId="0" applyNumberFormat="1" applyFont="1" applyFill="1" applyBorder="1" applyAlignment="1" applyProtection="1">
      <alignment horizontal="center"/>
      <protection locked="0"/>
    </xf>
    <xf numFmtId="164" fontId="30" fillId="13" borderId="28"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17" fillId="0" borderId="0" xfId="0" applyFont="1" applyProtection="1">
      <protection locked="0"/>
    </xf>
    <xf numFmtId="0" fontId="11" fillId="12" borderId="4" xfId="0" applyFont="1" applyFill="1" applyBorder="1" applyAlignment="1" applyProtection="1">
      <alignment horizontal="center"/>
      <protection locked="0"/>
    </xf>
    <xf numFmtId="0" fontId="11" fillId="12" borderId="30" xfId="0" applyFont="1" applyFill="1" applyBorder="1" applyAlignment="1" applyProtection="1">
      <alignment horizontal="center"/>
      <protection locked="0"/>
    </xf>
    <xf numFmtId="0" fontId="0" fillId="12" borderId="30" xfId="0" applyFill="1" applyBorder="1" applyAlignment="1" applyProtection="1">
      <alignment horizontal="center"/>
      <protection locked="0"/>
    </xf>
    <xf numFmtId="0" fontId="11" fillId="12" borderId="16" xfId="0" applyFont="1" applyFill="1" applyBorder="1" applyAlignment="1" applyProtection="1">
      <alignment horizontal="center"/>
      <protection locked="0"/>
    </xf>
    <xf numFmtId="0" fontId="11" fillId="12" borderId="31" xfId="0" applyFont="1" applyFill="1" applyBorder="1" applyAlignment="1" applyProtection="1">
      <alignment horizontal="center"/>
      <protection locked="0"/>
    </xf>
    <xf numFmtId="0" fontId="0" fillId="12" borderId="0" xfId="0" applyFill="1" applyProtection="1">
      <protection locked="0"/>
    </xf>
    <xf numFmtId="0" fontId="11" fillId="12" borderId="32" xfId="0"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11" fillId="2" borderId="33" xfId="0" applyFont="1"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10" xfId="0" applyFill="1" applyBorder="1" applyProtection="1">
      <protection locked="0"/>
    </xf>
    <xf numFmtId="0" fontId="11" fillId="2" borderId="36" xfId="0" applyFont="1" applyFill="1" applyBorder="1" applyAlignment="1" applyProtection="1">
      <alignment horizontal="center"/>
      <protection locked="0"/>
    </xf>
    <xf numFmtId="164" fontId="0" fillId="2" borderId="7" xfId="0" applyNumberFormat="1" applyFill="1" applyBorder="1" applyAlignment="1" applyProtection="1">
      <alignment horizontal="center"/>
      <protection locked="0"/>
    </xf>
    <xf numFmtId="0" fontId="0" fillId="8" borderId="0" xfId="0" applyFill="1" applyProtection="1">
      <protection locked="0"/>
    </xf>
    <xf numFmtId="2" fontId="0" fillId="8" borderId="0" xfId="0" applyNumberFormat="1" applyFill="1" applyProtection="1">
      <protection locked="0"/>
    </xf>
    <xf numFmtId="0" fontId="0" fillId="3" borderId="0" xfId="0" applyFill="1" applyProtection="1">
      <protection locked="0"/>
    </xf>
    <xf numFmtId="2" fontId="0" fillId="3" borderId="0" xfId="0" applyNumberFormat="1" applyFill="1" applyProtection="1">
      <protection locked="0"/>
    </xf>
    <xf numFmtId="0" fontId="0" fillId="2" borderId="0" xfId="0" applyFill="1" applyAlignment="1" applyProtection="1">
      <alignment horizontal="center"/>
    </xf>
    <xf numFmtId="0" fontId="0" fillId="2" borderId="7" xfId="0" applyFill="1" applyBorder="1" applyAlignment="1" applyProtection="1">
      <alignment horizontal="center"/>
    </xf>
    <xf numFmtId="2" fontId="0" fillId="2" borderId="22" xfId="0" applyNumberFormat="1" applyFill="1" applyBorder="1" applyAlignment="1" applyProtection="1">
      <alignment horizontal="center"/>
    </xf>
    <xf numFmtId="0" fontId="17" fillId="8" borderId="0" xfId="0" applyFont="1" applyFill="1" applyProtection="1"/>
    <xf numFmtId="0" fontId="0" fillId="8" borderId="0" xfId="0" applyFill="1" applyProtection="1"/>
    <xf numFmtId="0" fontId="11" fillId="8" borderId="0" xfId="0" applyFont="1" applyFill="1" applyProtection="1"/>
    <xf numFmtId="2" fontId="0" fillId="8" borderId="0" xfId="0" applyNumberFormat="1" applyFill="1" applyProtection="1"/>
    <xf numFmtId="0" fontId="11" fillId="8" borderId="0" xfId="0" applyFont="1" applyFill="1" applyAlignment="1" applyProtection="1">
      <alignment horizontal="center"/>
    </xf>
    <xf numFmtId="164" fontId="0" fillId="8" borderId="1" xfId="0" applyNumberFormat="1" applyFill="1" applyBorder="1" applyProtection="1"/>
    <xf numFmtId="164" fontId="0" fillId="8" borderId="3" xfId="0" applyNumberFormat="1" applyFill="1" applyBorder="1" applyProtection="1"/>
    <xf numFmtId="2" fontId="0" fillId="8" borderId="3" xfId="0" applyNumberFormat="1" applyFill="1" applyBorder="1" applyProtection="1"/>
    <xf numFmtId="164" fontId="0" fillId="8" borderId="4" xfId="0" applyNumberFormat="1" applyFill="1" applyBorder="1" applyProtection="1"/>
    <xf numFmtId="2" fontId="0" fillId="8" borderId="5" xfId="0" applyNumberFormat="1" applyFill="1" applyBorder="1" applyProtection="1"/>
    <xf numFmtId="0" fontId="0" fillId="8" borderId="4" xfId="0" applyFill="1" applyBorder="1" applyProtection="1"/>
    <xf numFmtId="0" fontId="0" fillId="8" borderId="5" xfId="0" applyFill="1" applyBorder="1" applyProtection="1"/>
    <xf numFmtId="0" fontId="11" fillId="8" borderId="4" xfId="0" applyFont="1" applyFill="1" applyBorder="1" applyProtection="1"/>
    <xf numFmtId="164" fontId="0" fillId="8" borderId="5" xfId="0" applyNumberFormat="1" applyFill="1" applyBorder="1" applyProtection="1"/>
    <xf numFmtId="0" fontId="11" fillId="8" borderId="6" xfId="0" applyFont="1" applyFill="1" applyBorder="1" applyProtection="1"/>
    <xf numFmtId="164" fontId="0" fillId="8" borderId="8" xfId="0" applyNumberFormat="1" applyFill="1" applyBorder="1" applyProtection="1"/>
    <xf numFmtId="2" fontId="0" fillId="8" borderId="8" xfId="0" applyNumberFormat="1" applyFill="1" applyBorder="1" applyProtection="1"/>
    <xf numFmtId="2" fontId="0" fillId="8" borderId="1" xfId="0" applyNumberFormat="1" applyFill="1" applyBorder="1" applyProtection="1"/>
    <xf numFmtId="2" fontId="0" fillId="8" borderId="4" xfId="0" applyNumberFormat="1" applyFill="1" applyBorder="1" applyProtection="1"/>
    <xf numFmtId="2" fontId="0" fillId="8" borderId="6" xfId="0" applyNumberFormat="1" applyFill="1" applyBorder="1" applyProtection="1"/>
    <xf numFmtId="0" fontId="17" fillId="3" borderId="0" xfId="0" applyFont="1" applyFill="1" applyProtection="1"/>
    <xf numFmtId="0" fontId="0" fillId="3" borderId="0" xfId="0" applyFill="1" applyProtection="1"/>
    <xf numFmtId="0" fontId="11" fillId="3" borderId="0" xfId="0" applyFont="1" applyFill="1" applyProtection="1"/>
    <xf numFmtId="2" fontId="0" fillId="3" borderId="0" xfId="0" applyNumberFormat="1" applyFill="1" applyProtection="1"/>
    <xf numFmtId="2" fontId="0" fillId="3" borderId="1" xfId="0" applyNumberFormat="1" applyFill="1" applyBorder="1" applyProtection="1"/>
    <xf numFmtId="2" fontId="0" fillId="3" borderId="3" xfId="0" applyNumberFormat="1" applyFill="1" applyBorder="1" applyProtection="1"/>
    <xf numFmtId="2" fontId="0" fillId="3" borderId="4" xfId="0" applyNumberFormat="1" applyFill="1" applyBorder="1" applyProtection="1"/>
    <xf numFmtId="2" fontId="0" fillId="3" borderId="5" xfId="0" applyNumberFormat="1" applyFill="1" applyBorder="1" applyProtection="1"/>
    <xf numFmtId="0" fontId="0" fillId="3" borderId="4" xfId="0" applyFill="1" applyBorder="1" applyProtection="1"/>
    <xf numFmtId="0" fontId="0" fillId="3" borderId="5" xfId="0" applyFill="1" applyBorder="1" applyProtection="1"/>
    <xf numFmtId="0" fontId="11" fillId="3" borderId="4" xfId="0" applyFont="1" applyFill="1" applyBorder="1" applyProtection="1"/>
    <xf numFmtId="164" fontId="0" fillId="3" borderId="5" xfId="0" applyNumberFormat="1" applyFill="1" applyBorder="1" applyProtection="1"/>
    <xf numFmtId="0" fontId="11" fillId="3" borderId="6" xfId="0" applyFont="1" applyFill="1" applyBorder="1" applyProtection="1"/>
    <xf numFmtId="164" fontId="0" fillId="3" borderId="8" xfId="0" applyNumberFormat="1" applyFill="1" applyBorder="1" applyProtection="1"/>
    <xf numFmtId="164" fontId="0" fillId="3" borderId="0" xfId="0" applyNumberFormat="1" applyFill="1" applyProtection="1"/>
    <xf numFmtId="0" fontId="0" fillId="3" borderId="6" xfId="0" applyFill="1" applyBorder="1" applyProtection="1"/>
    <xf numFmtId="0" fontId="0" fillId="3" borderId="8" xfId="0" applyFill="1" applyBorder="1" applyProtection="1"/>
    <xf numFmtId="0" fontId="11" fillId="0" borderId="0" xfId="0" applyFont="1" applyProtection="1"/>
    <xf numFmtId="0" fontId="0" fillId="0" borderId="0" xfId="0" applyProtection="1"/>
    <xf numFmtId="2" fontId="11" fillId="0" borderId="0" xfId="0" applyNumberFormat="1" applyFont="1" applyProtection="1"/>
    <xf numFmtId="2" fontId="0" fillId="0" borderId="0" xfId="0" applyNumberFormat="1" applyProtection="1"/>
    <xf numFmtId="164" fontId="0" fillId="0" borderId="0" xfId="0" applyNumberFormat="1" applyProtection="1"/>
    <xf numFmtId="0" fontId="5" fillId="12" borderId="9" xfId="0" applyFont="1" applyFill="1" applyBorder="1" applyProtection="1">
      <protection locked="0"/>
    </xf>
    <xf numFmtId="0" fontId="0" fillId="12" borderId="10" xfId="0" applyFont="1" applyFill="1" applyBorder="1" applyProtection="1">
      <protection locked="0"/>
    </xf>
    <xf numFmtId="0" fontId="0" fillId="12" borderId="11" xfId="0" applyFont="1" applyFill="1" applyBorder="1" applyProtection="1">
      <protection locked="0"/>
    </xf>
    <xf numFmtId="0" fontId="0" fillId="0" borderId="0" xfId="0" applyFont="1" applyProtection="1">
      <protection locked="0"/>
    </xf>
    <xf numFmtId="0" fontId="0" fillId="2" borderId="4" xfId="0" applyFont="1" applyFill="1" applyBorder="1" applyProtection="1">
      <protection locked="0"/>
    </xf>
    <xf numFmtId="0" fontId="0" fillId="2" borderId="0" xfId="0" applyFont="1" applyFill="1" applyBorder="1" applyProtection="1">
      <protection locked="0"/>
    </xf>
    <xf numFmtId="0" fontId="0" fillId="2" borderId="5" xfId="0" applyFont="1" applyFill="1" applyBorder="1" applyProtection="1">
      <protection locked="0"/>
    </xf>
    <xf numFmtId="2" fontId="0" fillId="2" borderId="0" xfId="0" applyNumberFormat="1" applyFont="1" applyFill="1" applyBorder="1" applyProtection="1">
      <protection locked="0"/>
    </xf>
    <xf numFmtId="0" fontId="31" fillId="13" borderId="12" xfId="0" applyFont="1" applyFill="1" applyBorder="1" applyProtection="1">
      <protection locked="0"/>
    </xf>
    <xf numFmtId="165" fontId="0" fillId="0" borderId="0" xfId="0" applyNumberFormat="1" applyProtection="1">
      <protection locked="0"/>
    </xf>
    <xf numFmtId="2" fontId="31" fillId="13" borderId="12" xfId="0" applyNumberFormat="1" applyFont="1" applyFill="1" applyBorder="1" applyProtection="1">
      <protection locked="0"/>
    </xf>
    <xf numFmtId="164" fontId="0" fillId="2" borderId="0" xfId="0" applyNumberFormat="1" applyFont="1" applyFill="1" applyBorder="1" applyProtection="1">
      <protection locked="0"/>
    </xf>
    <xf numFmtId="2" fontId="31" fillId="13" borderId="12" xfId="0" applyNumberFormat="1" applyFont="1" applyFill="1" applyBorder="1" applyAlignment="1" applyProtection="1">
      <alignment horizontal="center"/>
      <protection locked="0"/>
    </xf>
    <xf numFmtId="2" fontId="0" fillId="2" borderId="0" xfId="0" applyNumberFormat="1" applyFill="1" applyBorder="1" applyProtection="1">
      <protection locked="0"/>
    </xf>
    <xf numFmtId="0" fontId="5" fillId="8" borderId="0" xfId="0" applyFont="1" applyFill="1" applyProtection="1">
      <protection locked="0"/>
    </xf>
    <xf numFmtId="165" fontId="0" fillId="8" borderId="0" xfId="0" applyNumberFormat="1" applyFill="1" applyProtection="1">
      <protection locked="0"/>
    </xf>
    <xf numFmtId="0" fontId="0" fillId="2" borderId="6" xfId="0" applyFont="1" applyFill="1" applyBorder="1" applyProtection="1">
      <protection locked="0"/>
    </xf>
    <xf numFmtId="0" fontId="0" fillId="2" borderId="7" xfId="0" applyFont="1" applyFill="1" applyBorder="1" applyProtection="1">
      <protection locked="0"/>
    </xf>
    <xf numFmtId="0" fontId="0" fillId="2" borderId="8" xfId="0" applyFont="1" applyFill="1" applyBorder="1" applyProtection="1">
      <protection locked="0"/>
    </xf>
    <xf numFmtId="164" fontId="0" fillId="2" borderId="0" xfId="0" applyNumberFormat="1" applyFill="1" applyBorder="1" applyProtection="1">
      <protection locked="0"/>
    </xf>
    <xf numFmtId="0" fontId="0" fillId="2" borderId="0" xfId="0" applyFont="1" applyFill="1" applyBorder="1" applyAlignment="1" applyProtection="1">
      <alignment vertical="center"/>
      <protection locked="0"/>
    </xf>
    <xf numFmtId="0" fontId="8" fillId="2" borderId="0" xfId="0" applyFont="1" applyFill="1" applyBorder="1" applyAlignment="1" applyProtection="1">
      <alignment horizontal="center"/>
      <protection locked="0"/>
    </xf>
    <xf numFmtId="0" fontId="5" fillId="3" borderId="0" xfId="0" applyFont="1" applyFill="1" applyProtection="1">
      <protection locked="0"/>
    </xf>
    <xf numFmtId="165" fontId="0" fillId="3" borderId="0" xfId="0" applyNumberFormat="1" applyFill="1" applyProtection="1">
      <protection locked="0"/>
    </xf>
    <xf numFmtId="2" fontId="0" fillId="0" borderId="0" xfId="0" applyNumberFormat="1" applyFont="1" applyProtection="1">
      <protection locked="0"/>
    </xf>
    <xf numFmtId="0" fontId="11" fillId="10" borderId="13" xfId="0" quotePrefix="1" applyFont="1" applyFill="1" applyBorder="1" applyProtection="1">
      <protection locked="0"/>
    </xf>
    <xf numFmtId="0" fontId="11" fillId="10" borderId="14" xfId="0" applyFont="1" applyFill="1" applyBorder="1" applyProtection="1">
      <protection locked="0"/>
    </xf>
    <xf numFmtId="0" fontId="11" fillId="10" borderId="15" xfId="0" applyFont="1" applyFill="1" applyBorder="1" applyProtection="1">
      <protection locked="0"/>
    </xf>
    <xf numFmtId="0" fontId="0" fillId="11" borderId="16" xfId="0" applyFill="1" applyBorder="1" applyProtection="1">
      <protection locked="0"/>
    </xf>
    <xf numFmtId="164" fontId="0" fillId="11" borderId="0" xfId="0" applyNumberFormat="1" applyFill="1" applyProtection="1">
      <protection locked="0"/>
    </xf>
    <xf numFmtId="164" fontId="0" fillId="11" borderId="17" xfId="0" applyNumberFormat="1" applyFill="1" applyBorder="1" applyProtection="1">
      <protection locked="0"/>
    </xf>
    <xf numFmtId="0" fontId="0" fillId="5" borderId="16" xfId="0" applyFill="1" applyBorder="1" applyProtection="1">
      <protection locked="0"/>
    </xf>
    <xf numFmtId="164" fontId="0" fillId="5" borderId="0" xfId="0" applyNumberFormat="1" applyFill="1" applyProtection="1">
      <protection locked="0"/>
    </xf>
    <xf numFmtId="164" fontId="0" fillId="5" borderId="17" xfId="0" applyNumberFormat="1" applyFill="1" applyBorder="1" applyProtection="1">
      <protection locked="0"/>
    </xf>
    <xf numFmtId="0" fontId="0" fillId="5" borderId="18" xfId="0" applyFill="1" applyBorder="1" applyProtection="1">
      <protection locked="0"/>
    </xf>
    <xf numFmtId="164" fontId="0" fillId="5" borderId="19" xfId="0" applyNumberFormat="1" applyFill="1" applyBorder="1" applyProtection="1">
      <protection locked="0"/>
    </xf>
    <xf numFmtId="164" fontId="0" fillId="5" borderId="20" xfId="0" applyNumberFormat="1" applyFill="1" applyBorder="1" applyProtection="1">
      <protection locked="0"/>
    </xf>
    <xf numFmtId="164" fontId="0" fillId="2" borderId="0" xfId="0" applyNumberFormat="1" applyFont="1" applyFill="1" applyBorder="1" applyAlignment="1" applyProtection="1">
      <alignment horizontal="center"/>
    </xf>
    <xf numFmtId="2" fontId="0" fillId="2" borderId="0" xfId="0" applyNumberFormat="1" applyFont="1" applyFill="1" applyBorder="1" applyAlignment="1" applyProtection="1">
      <alignment horizontal="center"/>
    </xf>
    <xf numFmtId="165" fontId="0" fillId="2" borderId="0" xfId="0" applyNumberFormat="1" applyFont="1" applyFill="1" applyBorder="1" applyAlignment="1" applyProtection="1">
      <alignment horizontal="center"/>
    </xf>
    <xf numFmtId="0" fontId="0" fillId="2" borderId="0" xfId="0" applyFont="1" applyFill="1" applyBorder="1" applyAlignment="1" applyProtection="1">
      <alignment horizontal="center"/>
    </xf>
    <xf numFmtId="2" fontId="0" fillId="2" borderId="0" xfId="0" applyNumberFormat="1" applyFont="1" applyFill="1" applyBorder="1" applyProtection="1"/>
    <xf numFmtId="0" fontId="0" fillId="2" borderId="0" xfId="0" applyFont="1" applyFill="1" applyBorder="1" applyProtection="1"/>
    <xf numFmtId="164" fontId="0" fillId="2" borderId="0" xfId="0" applyNumberFormat="1" applyFont="1" applyFill="1" applyBorder="1" applyProtection="1"/>
    <xf numFmtId="2" fontId="0" fillId="2" borderId="0" xfId="0" applyNumberFormat="1" applyFill="1" applyBorder="1" applyProtection="1"/>
    <xf numFmtId="2" fontId="0" fillId="2" borderId="0" xfId="0" applyNumberFormat="1" applyFill="1" applyProtection="1"/>
    <xf numFmtId="0" fontId="5" fillId="0" borderId="0" xfId="0" applyFont="1" applyProtection="1">
      <protection locked="0"/>
    </xf>
    <xf numFmtId="0" fontId="30" fillId="13" borderId="12" xfId="0" applyFont="1" applyFill="1" applyBorder="1" applyAlignment="1" applyProtection="1">
      <alignment horizontal="center"/>
      <protection locked="0"/>
    </xf>
    <xf numFmtId="0" fontId="0" fillId="9" borderId="0" xfId="0" applyFill="1" applyProtection="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15" borderId="13" xfId="0" applyFill="1" applyBorder="1" applyProtection="1">
      <protection locked="0"/>
    </xf>
    <xf numFmtId="0" fontId="0" fillId="15" borderId="14" xfId="0" applyFill="1" applyBorder="1" applyProtection="1">
      <protection locked="0"/>
    </xf>
    <xf numFmtId="0" fontId="0" fillId="15" borderId="15" xfId="0" applyFill="1" applyBorder="1" applyProtection="1">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Protection="1">
      <protection locked="0"/>
    </xf>
    <xf numFmtId="0" fontId="0" fillId="0" borderId="5" xfId="0" applyBorder="1" applyProtection="1">
      <protection locked="0"/>
    </xf>
    <xf numFmtId="0" fontId="0" fillId="15" borderId="18" xfId="0" applyFill="1" applyBorder="1" applyProtection="1">
      <protection locked="0"/>
    </xf>
    <xf numFmtId="0" fontId="0" fillId="15" borderId="19" xfId="0" applyFill="1" applyBorder="1" applyProtection="1">
      <protection locked="0"/>
    </xf>
    <xf numFmtId="0" fontId="0" fillId="15" borderId="20" xfId="0" applyFill="1" applyBorder="1" applyProtection="1">
      <protection locked="0"/>
    </xf>
    <xf numFmtId="0" fontId="0" fillId="6" borderId="1" xfId="0" applyFill="1" applyBorder="1" applyProtection="1">
      <protection locked="0"/>
    </xf>
    <xf numFmtId="0" fontId="0" fillId="6" borderId="2" xfId="0" applyFill="1" applyBorder="1" applyProtection="1">
      <protection locked="0"/>
    </xf>
    <xf numFmtId="2" fontId="0" fillId="6" borderId="1" xfId="0" applyNumberFormat="1"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2" xfId="0" applyFill="1" applyBorder="1" applyAlignment="1" applyProtection="1">
      <alignment horizontal="center"/>
      <protection locked="0"/>
    </xf>
    <xf numFmtId="2" fontId="0" fillId="6" borderId="3" xfId="0" applyNumberFormat="1" applyFill="1" applyBorder="1" applyAlignment="1" applyProtection="1">
      <alignment horizontal="center"/>
      <protection locked="0"/>
    </xf>
    <xf numFmtId="0" fontId="0" fillId="6" borderId="4" xfId="0" applyFill="1" applyBorder="1" applyProtection="1">
      <protection locked="0"/>
    </xf>
    <xf numFmtId="0" fontId="0" fillId="6" borderId="0" xfId="0" applyFill="1" applyBorder="1" applyProtection="1">
      <protection locked="0"/>
    </xf>
    <xf numFmtId="2" fontId="0" fillId="6" borderId="4" xfId="0" applyNumberFormat="1" applyFill="1" applyBorder="1" applyAlignment="1" applyProtection="1">
      <alignment horizontal="center"/>
      <protection locked="0"/>
    </xf>
    <xf numFmtId="2" fontId="0" fillId="6" borderId="0" xfId="0" applyNumberFormat="1" applyFill="1" applyBorder="1" applyProtection="1">
      <protection locked="0"/>
    </xf>
    <xf numFmtId="2" fontId="0" fillId="6" borderId="5" xfId="0" applyNumberFormat="1" applyFill="1" applyBorder="1" applyAlignment="1" applyProtection="1">
      <alignment horizontal="center"/>
      <protection locked="0"/>
    </xf>
    <xf numFmtId="0" fontId="0" fillId="6" borderId="0" xfId="0" applyFill="1" applyBorder="1" applyAlignment="1" applyProtection="1">
      <alignment horizontal="center"/>
      <protection locked="0"/>
    </xf>
    <xf numFmtId="164" fontId="0" fillId="6" borderId="4" xfId="0" applyNumberFormat="1" applyFill="1" applyBorder="1" applyAlignment="1" applyProtection="1">
      <alignment horizontal="center"/>
      <protection locked="0"/>
    </xf>
    <xf numFmtId="164" fontId="0" fillId="6" borderId="0" xfId="0" applyNumberFormat="1" applyFill="1" applyBorder="1" applyAlignment="1" applyProtection="1">
      <alignment horizontal="center"/>
      <protection locked="0"/>
    </xf>
    <xf numFmtId="164" fontId="0" fillId="6" borderId="5" xfId="0" applyNumberFormat="1" applyFill="1" applyBorder="1" applyAlignment="1" applyProtection="1">
      <alignment horizontal="center"/>
      <protection locked="0"/>
    </xf>
    <xf numFmtId="0" fontId="0" fillId="2" borderId="4" xfId="0" applyFill="1" applyBorder="1" applyProtection="1">
      <protection locked="0"/>
    </xf>
    <xf numFmtId="0" fontId="0" fillId="2" borderId="0" xfId="0" applyFill="1" applyBorder="1" applyProtection="1">
      <protection locked="0"/>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2" fontId="0" fillId="2" borderId="5"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164" fontId="0" fillId="2" borderId="5" xfId="0" applyNumberFormat="1" applyFill="1" applyBorder="1" applyAlignment="1" applyProtection="1">
      <alignment horizontal="center"/>
      <protection locked="0"/>
    </xf>
    <xf numFmtId="0" fontId="0" fillId="16" borderId="14" xfId="0" applyFill="1" applyBorder="1" applyProtection="1">
      <protection locked="0"/>
    </xf>
    <xf numFmtId="0" fontId="0" fillId="15" borderId="14" xfId="0" applyFill="1" applyBorder="1" applyAlignment="1" applyProtection="1">
      <alignment horizontal="right"/>
      <protection locked="0"/>
    </xf>
    <xf numFmtId="0" fontId="0" fillId="16" borderId="0" xfId="0" applyFill="1" applyBorder="1" applyProtection="1">
      <protection locked="0"/>
    </xf>
    <xf numFmtId="0" fontId="0" fillId="6" borderId="5" xfId="0" applyFill="1" applyBorder="1" applyAlignment="1" applyProtection="1">
      <alignment horizontal="center"/>
      <protection locked="0"/>
    </xf>
    <xf numFmtId="0" fontId="0" fillId="6" borderId="4" xfId="0" applyFill="1" applyBorder="1" applyAlignment="1" applyProtection="1">
      <alignment horizontal="center"/>
      <protection locked="0"/>
    </xf>
    <xf numFmtId="164" fontId="0" fillId="6" borderId="0" xfId="0" applyNumberFormat="1" applyFill="1" applyBorder="1" applyProtection="1">
      <protection locked="0"/>
    </xf>
    <xf numFmtId="0" fontId="0" fillId="2" borderId="4" xfId="0" applyFill="1" applyBorder="1" applyAlignment="1" applyProtection="1">
      <alignment horizontal="center"/>
      <protection locked="0"/>
    </xf>
    <xf numFmtId="0" fontId="0" fillId="2" borderId="6" xfId="0" applyFill="1" applyBorder="1" applyProtection="1">
      <protection locked="0"/>
    </xf>
    <xf numFmtId="0" fontId="0" fillId="2" borderId="7" xfId="0" applyFill="1" applyBorder="1" applyProtection="1">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164" fontId="0" fillId="2" borderId="6"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8" fillId="0" borderId="0" xfId="0" applyFont="1" applyAlignment="1" applyProtection="1">
      <alignment horizontal="center"/>
      <protection locked="0"/>
    </xf>
    <xf numFmtId="164" fontId="0" fillId="0" borderId="0" xfId="0" applyNumberFormat="1" applyAlignment="1" applyProtection="1">
      <alignment horizontal="center"/>
      <protection locked="0"/>
    </xf>
    <xf numFmtId="0" fontId="8" fillId="0" borderId="0" xfId="0" applyFont="1" applyProtection="1">
      <protection locked="0"/>
    </xf>
    <xf numFmtId="0" fontId="0" fillId="0" borderId="0" xfId="0" applyAlignment="1" applyProtection="1">
      <alignment horizontal="center"/>
    </xf>
    <xf numFmtId="164" fontId="0" fillId="6" borderId="1" xfId="0" applyNumberFormat="1" applyFill="1" applyBorder="1" applyAlignment="1" applyProtection="1">
      <alignment horizontal="center"/>
    </xf>
    <xf numFmtId="164" fontId="0" fillId="6" borderId="2" xfId="0" applyNumberFormat="1" applyFill="1" applyBorder="1" applyAlignment="1" applyProtection="1">
      <alignment horizontal="center"/>
    </xf>
    <xf numFmtId="164" fontId="0" fillId="6" borderId="3" xfId="0" applyNumberFormat="1" applyFill="1" applyBorder="1" applyAlignment="1" applyProtection="1">
      <alignment horizontal="center"/>
    </xf>
    <xf numFmtId="164" fontId="0" fillId="6" borderId="4" xfId="0" applyNumberFormat="1" applyFill="1" applyBorder="1" applyAlignment="1" applyProtection="1">
      <alignment horizontal="center"/>
    </xf>
    <xf numFmtId="164" fontId="0" fillId="6" borderId="0" xfId="0" applyNumberFormat="1" applyFill="1" applyBorder="1" applyAlignment="1" applyProtection="1">
      <alignment horizontal="center"/>
    </xf>
    <xf numFmtId="164" fontId="0" fillId="6" borderId="5" xfId="0" applyNumberFormat="1" applyFill="1" applyBorder="1" applyAlignment="1" applyProtection="1">
      <alignment horizontal="center"/>
    </xf>
    <xf numFmtId="164" fontId="0" fillId="2" borderId="4" xfId="0" applyNumberFormat="1" applyFill="1" applyBorder="1" applyAlignment="1" applyProtection="1">
      <alignment horizontal="center"/>
    </xf>
    <xf numFmtId="164" fontId="0" fillId="2" borderId="0" xfId="0" applyNumberFormat="1" applyFill="1" applyBorder="1" applyAlignment="1" applyProtection="1">
      <alignment horizontal="center"/>
    </xf>
    <xf numFmtId="164" fontId="0" fillId="2" borderId="5" xfId="0" applyNumberFormat="1" applyFill="1" applyBorder="1" applyAlignment="1" applyProtection="1">
      <alignment horizontal="center"/>
    </xf>
    <xf numFmtId="0" fontId="5" fillId="2" borderId="1" xfId="0" applyFont="1"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5" fillId="2" borderId="4" xfId="0" applyFont="1" applyFill="1" applyBorder="1" applyProtection="1">
      <protection locked="0"/>
    </xf>
    <xf numFmtId="0" fontId="0" fillId="2" borderId="5" xfId="0" applyFill="1" applyBorder="1" applyProtection="1">
      <protection locked="0"/>
    </xf>
    <xf numFmtId="2" fontId="30" fillId="13" borderId="12" xfId="0" applyNumberFormat="1" applyFont="1" applyFill="1" applyBorder="1" applyProtection="1">
      <protection locked="0"/>
    </xf>
    <xf numFmtId="0" fontId="0" fillId="0" borderId="0" xfId="0" applyAlignment="1" applyProtection="1">
      <alignment horizontal="right"/>
      <protection locked="0"/>
    </xf>
    <xf numFmtId="2" fontId="0" fillId="0" borderId="0" xfId="0" applyNumberFormat="1" applyAlignment="1" applyProtection="1">
      <alignment horizontal="center"/>
      <protection locked="0"/>
    </xf>
    <xf numFmtId="0" fontId="0" fillId="2" borderId="0" xfId="0" applyFill="1" applyBorder="1" applyAlignment="1" applyProtection="1">
      <alignment horizontal="right"/>
      <protection locked="0"/>
    </xf>
    <xf numFmtId="0" fontId="0" fillId="2" borderId="8" xfId="0" applyFill="1" applyBorder="1" applyProtection="1">
      <protection locked="0"/>
    </xf>
    <xf numFmtId="0" fontId="0" fillId="16" borderId="0" xfId="0" applyFill="1" applyProtection="1">
      <protection locked="0"/>
    </xf>
    <xf numFmtId="0" fontId="0" fillId="14" borderId="0" xfId="0" applyFill="1" applyProtection="1">
      <protection locked="0"/>
    </xf>
    <xf numFmtId="0" fontId="0" fillId="2" borderId="0" xfId="0" applyFill="1" applyBorder="1" applyProtection="1"/>
    <xf numFmtId="2" fontId="0" fillId="2" borderId="7" xfId="0" applyNumberFormat="1" applyFill="1" applyBorder="1" applyProtection="1"/>
    <xf numFmtId="14" fontId="0" fillId="0" borderId="21" xfId="0" applyNumberFormat="1" applyBorder="1"/>
    <xf numFmtId="0" fontId="0" fillId="0" borderId="45" xfId="0" applyFont="1"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40" xfId="0" applyBorder="1" applyAlignment="1">
      <alignment wrapText="1"/>
    </xf>
    <xf numFmtId="0" fontId="0" fillId="0" borderId="51" xfId="0" applyBorder="1"/>
    <xf numFmtId="0" fontId="0" fillId="0" borderId="52" xfId="0" applyBorder="1"/>
    <xf numFmtId="0" fontId="5" fillId="0" borderId="50" xfId="0" applyFont="1" applyBorder="1"/>
    <xf numFmtId="0" fontId="0" fillId="0" borderId="40" xfId="0" applyBorder="1"/>
    <xf numFmtId="0" fontId="5" fillId="0" borderId="6" xfId="0" applyFont="1" applyBorder="1"/>
    <xf numFmtId="0" fontId="0" fillId="0" borderId="27" xfId="0" applyBorder="1"/>
    <xf numFmtId="0" fontId="0" fillId="0" borderId="26" xfId="0" applyBorder="1"/>
    <xf numFmtId="0" fontId="0" fillId="0" borderId="28" xfId="0" applyBorder="1"/>
    <xf numFmtId="0" fontId="0" fillId="2" borderId="4" xfId="0" applyFont="1" applyFill="1" applyBorder="1" applyAlignment="1" applyProtection="1">
      <alignment horizontal="left" wrapText="1"/>
      <protection locked="0"/>
    </xf>
    <xf numFmtId="0" fontId="0" fillId="2" borderId="0" xfId="0" applyFont="1" applyFill="1" applyBorder="1" applyAlignment="1" applyProtection="1">
      <alignment horizontal="left" wrapText="1"/>
      <protection locked="0"/>
    </xf>
    <xf numFmtId="0" fontId="0" fillId="2" borderId="5" xfId="0" applyFont="1" applyFill="1" applyBorder="1" applyAlignment="1" applyProtection="1">
      <alignment horizontal="left" wrapText="1"/>
      <protection locked="0"/>
    </xf>
    <xf numFmtId="0" fontId="25" fillId="0" borderId="0" xfId="0" applyFont="1" applyAlignment="1">
      <alignment horizontal="left" wrapText="1"/>
    </xf>
    <xf numFmtId="14" fontId="25" fillId="0" borderId="0" xfId="0" applyNumberFormat="1" applyFont="1" applyAlignment="1">
      <alignment horizontal="left"/>
    </xf>
  </cellXfs>
  <cellStyles count="2">
    <cellStyle name="Hyperlink" xfId="1" builtinId="8"/>
    <cellStyle name="Standaard"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61AD"/>
      <color rgb="FF0E6EFA"/>
      <color rgb="FF05799D"/>
      <color rgb="FF8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3</xdr:col>
      <xdr:colOff>76200</xdr:colOff>
      <xdr:row>11</xdr:row>
      <xdr:rowOff>38100</xdr:rowOff>
    </xdr:to>
    <xdr:pic>
      <xdr:nvPicPr>
        <xdr:cNvPr id="2" name="Afbeelding 1">
          <a:extLst>
            <a:ext uri="{FF2B5EF4-FFF2-40B4-BE49-F238E27FC236}">
              <a16:creationId xmlns:a16="http://schemas.microsoft.com/office/drawing/2014/main" id="{D071BA0B-F022-4D32-9371-58D02D7334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
          <a:ext cx="1905000" cy="190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123265</xdr:colOff>
      <xdr:row>11</xdr:row>
      <xdr:rowOff>123264</xdr:rowOff>
    </xdr:from>
    <xdr:to>
      <xdr:col>24</xdr:col>
      <xdr:colOff>459442</xdr:colOff>
      <xdr:row>21</xdr:row>
      <xdr:rowOff>123264</xdr:rowOff>
    </xdr:to>
    <xdr:sp macro="" textlink="">
      <xdr:nvSpPr>
        <xdr:cNvPr id="2" name="Rechthoek 1">
          <a:extLst>
            <a:ext uri="{FF2B5EF4-FFF2-40B4-BE49-F238E27FC236}">
              <a16:creationId xmlns:a16="http://schemas.microsoft.com/office/drawing/2014/main" id="{497A63ED-BE38-451B-AE17-FCF10FD47E67}"/>
            </a:ext>
          </a:extLst>
        </xdr:cNvPr>
        <xdr:cNvSpPr/>
      </xdr:nvSpPr>
      <xdr:spPr>
        <a:xfrm>
          <a:off x="16430065" y="4085664"/>
          <a:ext cx="1555377" cy="2019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22</xdr:col>
      <xdr:colOff>391478</xdr:colOff>
      <xdr:row>17</xdr:row>
      <xdr:rowOff>67234</xdr:rowOff>
    </xdr:from>
    <xdr:to>
      <xdr:col>23</xdr:col>
      <xdr:colOff>212916</xdr:colOff>
      <xdr:row>35</xdr:row>
      <xdr:rowOff>134469</xdr:rowOff>
    </xdr:to>
    <xdr:sp macro="" textlink="">
      <xdr:nvSpPr>
        <xdr:cNvPr id="3" name="Rechthoek 2">
          <a:extLst>
            <a:ext uri="{FF2B5EF4-FFF2-40B4-BE49-F238E27FC236}">
              <a16:creationId xmlns:a16="http://schemas.microsoft.com/office/drawing/2014/main" id="{907B70B9-C5F1-4FE6-A861-19D57A28FFF6}"/>
            </a:ext>
          </a:extLst>
        </xdr:cNvPr>
        <xdr:cNvSpPr/>
      </xdr:nvSpPr>
      <xdr:spPr>
        <a:xfrm rot="16200000">
          <a:off x="15165679" y="6819533"/>
          <a:ext cx="3496235" cy="4310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23</xdr:col>
      <xdr:colOff>487848</xdr:colOff>
      <xdr:row>17</xdr:row>
      <xdr:rowOff>17928</xdr:rowOff>
    </xdr:from>
    <xdr:to>
      <xdr:col>24</xdr:col>
      <xdr:colOff>448238</xdr:colOff>
      <xdr:row>21</xdr:row>
      <xdr:rowOff>100851</xdr:rowOff>
    </xdr:to>
    <xdr:sp macro="" textlink="">
      <xdr:nvSpPr>
        <xdr:cNvPr id="4" name="Rechthoek 3">
          <a:extLst>
            <a:ext uri="{FF2B5EF4-FFF2-40B4-BE49-F238E27FC236}">
              <a16:creationId xmlns:a16="http://schemas.microsoft.com/office/drawing/2014/main" id="{5713577F-93F0-46D7-8D36-FB934785A35C}"/>
            </a:ext>
          </a:extLst>
        </xdr:cNvPr>
        <xdr:cNvSpPr/>
      </xdr:nvSpPr>
      <xdr:spPr>
        <a:xfrm rot="16200000">
          <a:off x="17266781" y="5375095"/>
          <a:ext cx="844923" cy="5699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23</xdr:col>
      <xdr:colOff>324970</xdr:colOff>
      <xdr:row>17</xdr:row>
      <xdr:rowOff>0</xdr:rowOff>
    </xdr:from>
    <xdr:to>
      <xdr:col>23</xdr:col>
      <xdr:colOff>324970</xdr:colOff>
      <xdr:row>29</xdr:row>
      <xdr:rowOff>179294</xdr:rowOff>
    </xdr:to>
    <xdr:cxnSp macro="">
      <xdr:nvCxnSpPr>
        <xdr:cNvPr id="5" name="Rechte verbindingslijn met pijl 4">
          <a:extLst>
            <a:ext uri="{FF2B5EF4-FFF2-40B4-BE49-F238E27FC236}">
              <a16:creationId xmlns:a16="http://schemas.microsoft.com/office/drawing/2014/main" id="{F29DE5F6-34ED-456F-937E-0226F60A780C}"/>
            </a:ext>
          </a:extLst>
        </xdr:cNvPr>
        <xdr:cNvCxnSpPr/>
      </xdr:nvCxnSpPr>
      <xdr:spPr>
        <a:xfrm>
          <a:off x="17241370" y="5219700"/>
          <a:ext cx="0" cy="246529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320487</xdr:colOff>
      <xdr:row>17</xdr:row>
      <xdr:rowOff>11205</xdr:rowOff>
    </xdr:from>
    <xdr:to>
      <xdr:col>28</xdr:col>
      <xdr:colOff>11206</xdr:colOff>
      <xdr:row>17</xdr:row>
      <xdr:rowOff>17929</xdr:rowOff>
    </xdr:to>
    <xdr:cxnSp macro="">
      <xdr:nvCxnSpPr>
        <xdr:cNvPr id="6" name="Rechte verbindingslijn met pijl 5">
          <a:extLst>
            <a:ext uri="{FF2B5EF4-FFF2-40B4-BE49-F238E27FC236}">
              <a16:creationId xmlns:a16="http://schemas.microsoft.com/office/drawing/2014/main" id="{83B0F0A5-BB4C-432D-96F0-FC461C36156A}"/>
            </a:ext>
          </a:extLst>
        </xdr:cNvPr>
        <xdr:cNvCxnSpPr/>
      </xdr:nvCxnSpPr>
      <xdr:spPr>
        <a:xfrm flipV="1">
          <a:off x="17236887" y="5230905"/>
          <a:ext cx="2738719" cy="67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600636</xdr:colOff>
      <xdr:row>15</xdr:row>
      <xdr:rowOff>6724</xdr:rowOff>
    </xdr:from>
    <xdr:to>
      <xdr:col>26</xdr:col>
      <xdr:colOff>578223</xdr:colOff>
      <xdr:row>15</xdr:row>
      <xdr:rowOff>6724</xdr:rowOff>
    </xdr:to>
    <xdr:cxnSp macro="">
      <xdr:nvCxnSpPr>
        <xdr:cNvPr id="7" name="Rechte verbindingslijn met pijl 6">
          <a:extLst>
            <a:ext uri="{FF2B5EF4-FFF2-40B4-BE49-F238E27FC236}">
              <a16:creationId xmlns:a16="http://schemas.microsoft.com/office/drawing/2014/main" id="{B18D5C02-66B5-48D3-8327-4ED08B3882B6}"/>
            </a:ext>
          </a:extLst>
        </xdr:cNvPr>
        <xdr:cNvCxnSpPr/>
      </xdr:nvCxnSpPr>
      <xdr:spPr>
        <a:xfrm>
          <a:off x="18126636" y="4807324"/>
          <a:ext cx="1196787"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267067</xdr:colOff>
      <xdr:row>17</xdr:row>
      <xdr:rowOff>0</xdr:rowOff>
    </xdr:from>
    <xdr:to>
      <xdr:col>23</xdr:col>
      <xdr:colOff>285750</xdr:colOff>
      <xdr:row>20</xdr:row>
      <xdr:rowOff>124911</xdr:rowOff>
    </xdr:to>
    <xdr:cxnSp macro="">
      <xdr:nvCxnSpPr>
        <xdr:cNvPr id="8" name="Rechte verbindingslijn met pijl 7">
          <a:extLst>
            <a:ext uri="{FF2B5EF4-FFF2-40B4-BE49-F238E27FC236}">
              <a16:creationId xmlns:a16="http://schemas.microsoft.com/office/drawing/2014/main" id="{24FCE58A-9894-4AAC-94AF-E9E26841469A}"/>
            </a:ext>
          </a:extLst>
        </xdr:cNvPr>
        <xdr:cNvCxnSpPr>
          <a:stCxn id="14" idx="0"/>
        </xdr:cNvCxnSpPr>
      </xdr:nvCxnSpPr>
      <xdr:spPr>
        <a:xfrm flipV="1">
          <a:off x="13640167" y="2971800"/>
          <a:ext cx="1237883" cy="696411"/>
        </a:xfrm>
        <a:prstGeom prst="straightConnector1">
          <a:avLst/>
        </a:prstGeom>
        <a:ln w="571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323850</xdr:colOff>
      <xdr:row>0</xdr:row>
      <xdr:rowOff>104775</xdr:rowOff>
    </xdr:from>
    <xdr:to>
      <xdr:col>23</xdr:col>
      <xdr:colOff>323850</xdr:colOff>
      <xdr:row>33</xdr:row>
      <xdr:rowOff>152400</xdr:rowOff>
    </xdr:to>
    <xdr:cxnSp macro="">
      <xdr:nvCxnSpPr>
        <xdr:cNvPr id="11" name="Rechte verbindingslijn 10">
          <a:extLst>
            <a:ext uri="{FF2B5EF4-FFF2-40B4-BE49-F238E27FC236}">
              <a16:creationId xmlns:a16="http://schemas.microsoft.com/office/drawing/2014/main" id="{A00F1772-EEA8-4E69-8F89-68CF98AB91A4}"/>
            </a:ext>
          </a:extLst>
        </xdr:cNvPr>
        <xdr:cNvCxnSpPr/>
      </xdr:nvCxnSpPr>
      <xdr:spPr>
        <a:xfrm>
          <a:off x="14916150" y="104775"/>
          <a:ext cx="0" cy="6067425"/>
        </a:xfrm>
        <a:prstGeom prst="line">
          <a:avLst/>
        </a:prstGeom>
        <a:ln w="19050">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66674</xdr:colOff>
      <xdr:row>9</xdr:row>
      <xdr:rowOff>133350</xdr:rowOff>
    </xdr:from>
    <xdr:to>
      <xdr:col>25</xdr:col>
      <xdr:colOff>508274</xdr:colOff>
      <xdr:row>24</xdr:row>
      <xdr:rowOff>70125</xdr:rowOff>
    </xdr:to>
    <xdr:sp macro="" textlink="">
      <xdr:nvSpPr>
        <xdr:cNvPr id="14" name="Boog 13">
          <a:extLst>
            <a:ext uri="{FF2B5EF4-FFF2-40B4-BE49-F238E27FC236}">
              <a16:creationId xmlns:a16="http://schemas.microsoft.com/office/drawing/2014/main" id="{6718D52F-4456-408E-A313-9A349C59D540}"/>
            </a:ext>
          </a:extLst>
        </xdr:cNvPr>
        <xdr:cNvSpPr/>
      </xdr:nvSpPr>
      <xdr:spPr>
        <a:xfrm rot="5400000" flipV="1">
          <a:off x="13439774" y="1495425"/>
          <a:ext cx="2880000" cy="2880000"/>
        </a:xfrm>
        <a:prstGeom prst="arc">
          <a:avLst>
            <a:gd name="adj1" fmla="val 18035351"/>
            <a:gd name="adj2" fmla="val 0"/>
          </a:avLst>
        </a:prstGeom>
        <a:ln w="38100">
          <a:solidFill>
            <a:srgbClr val="00B050"/>
          </a:solidFill>
        </a:ln>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nl-NL" sz="1100"/>
        </a:p>
      </xdr:txBody>
    </xdr:sp>
    <xdr:clientData/>
  </xdr:twoCellAnchor>
  <xdr:twoCellAnchor>
    <xdr:from>
      <xdr:col>20</xdr:col>
      <xdr:colOff>457200</xdr:colOff>
      <xdr:row>17</xdr:row>
      <xdr:rowOff>76201</xdr:rowOff>
    </xdr:from>
    <xdr:to>
      <xdr:col>22</xdr:col>
      <xdr:colOff>66675</xdr:colOff>
      <xdr:row>18</xdr:row>
      <xdr:rowOff>152401</xdr:rowOff>
    </xdr:to>
    <xdr:sp macro="" textlink="">
      <xdr:nvSpPr>
        <xdr:cNvPr id="17" name="Tekstvak 16">
          <a:extLst>
            <a:ext uri="{FF2B5EF4-FFF2-40B4-BE49-F238E27FC236}">
              <a16:creationId xmlns:a16="http://schemas.microsoft.com/office/drawing/2014/main" id="{60164E92-24EB-4A35-BBAB-948FB66BE7E3}"/>
            </a:ext>
          </a:extLst>
        </xdr:cNvPr>
        <xdr:cNvSpPr txBox="1"/>
      </xdr:nvSpPr>
      <xdr:spPr>
        <a:xfrm>
          <a:off x="13220700" y="3048001"/>
          <a:ext cx="8286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Windhoek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11206</xdr:colOff>
      <xdr:row>22</xdr:row>
      <xdr:rowOff>134471</xdr:rowOff>
    </xdr:from>
    <xdr:to>
      <xdr:col>31</xdr:col>
      <xdr:colOff>347384</xdr:colOff>
      <xdr:row>28</xdr:row>
      <xdr:rowOff>78442</xdr:rowOff>
    </xdr:to>
    <xdr:sp macro="" textlink="">
      <xdr:nvSpPr>
        <xdr:cNvPr id="25" name="L-vorm 24">
          <a:extLst>
            <a:ext uri="{FF2B5EF4-FFF2-40B4-BE49-F238E27FC236}">
              <a16:creationId xmlns:a16="http://schemas.microsoft.com/office/drawing/2014/main" id="{E3DBFFCA-6622-4373-B5D9-B5C184CE26C3}"/>
            </a:ext>
          </a:extLst>
        </xdr:cNvPr>
        <xdr:cNvSpPr/>
      </xdr:nvSpPr>
      <xdr:spPr>
        <a:xfrm flipH="1">
          <a:off x="14119412" y="2330824"/>
          <a:ext cx="2151531" cy="1086971"/>
        </a:xfrm>
        <a:prstGeom prst="corner">
          <a:avLst>
            <a:gd name="adj1" fmla="val 62903"/>
            <a:gd name="adj2" fmla="val 580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32</xdr:col>
      <xdr:colOff>523451</xdr:colOff>
      <xdr:row>1</xdr:row>
      <xdr:rowOff>136491</xdr:rowOff>
    </xdr:from>
    <xdr:to>
      <xdr:col>33</xdr:col>
      <xdr:colOff>257511</xdr:colOff>
      <xdr:row>30</xdr:row>
      <xdr:rowOff>101025</xdr:rowOff>
    </xdr:to>
    <xdr:sp macro="" textlink="">
      <xdr:nvSpPr>
        <xdr:cNvPr id="26" name="Rechthoek 25">
          <a:extLst>
            <a:ext uri="{FF2B5EF4-FFF2-40B4-BE49-F238E27FC236}">
              <a16:creationId xmlns:a16="http://schemas.microsoft.com/office/drawing/2014/main" id="{E8CA891A-49B1-407A-A34A-88E5FBA9A953}"/>
            </a:ext>
          </a:extLst>
        </xdr:cNvPr>
        <xdr:cNvSpPr/>
      </xdr:nvSpPr>
      <xdr:spPr>
        <a:xfrm rot="18461498">
          <a:off x="8347582" y="3495831"/>
          <a:ext cx="5914858" cy="3391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32</xdr:col>
      <xdr:colOff>11206</xdr:colOff>
      <xdr:row>29</xdr:row>
      <xdr:rowOff>0</xdr:rowOff>
    </xdr:from>
    <xdr:to>
      <xdr:col>33</xdr:col>
      <xdr:colOff>593911</xdr:colOff>
      <xdr:row>29</xdr:row>
      <xdr:rowOff>0</xdr:rowOff>
    </xdr:to>
    <xdr:cxnSp macro="">
      <xdr:nvCxnSpPr>
        <xdr:cNvPr id="28" name="Rechte verbindingslijn met pijl 27">
          <a:extLst>
            <a:ext uri="{FF2B5EF4-FFF2-40B4-BE49-F238E27FC236}">
              <a16:creationId xmlns:a16="http://schemas.microsoft.com/office/drawing/2014/main" id="{B2FC6389-7BF1-406B-A5DF-C7FDB26D238D}"/>
            </a:ext>
          </a:extLst>
        </xdr:cNvPr>
        <xdr:cNvCxnSpPr/>
      </xdr:nvCxnSpPr>
      <xdr:spPr>
        <a:xfrm>
          <a:off x="10623177" y="6331324"/>
          <a:ext cx="1187822"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593912</xdr:colOff>
      <xdr:row>29</xdr:row>
      <xdr:rowOff>0</xdr:rowOff>
    </xdr:from>
    <xdr:to>
      <xdr:col>29</xdr:col>
      <xdr:colOff>11206</xdr:colOff>
      <xdr:row>29</xdr:row>
      <xdr:rowOff>0</xdr:rowOff>
    </xdr:to>
    <xdr:cxnSp macro="">
      <xdr:nvCxnSpPr>
        <xdr:cNvPr id="29" name="Rechte verbindingslijn met pijl 28">
          <a:extLst>
            <a:ext uri="{FF2B5EF4-FFF2-40B4-BE49-F238E27FC236}">
              <a16:creationId xmlns:a16="http://schemas.microsoft.com/office/drawing/2014/main" id="{80267090-7A28-482C-A112-53FC1DD81EF9}"/>
            </a:ext>
          </a:extLst>
        </xdr:cNvPr>
        <xdr:cNvCxnSpPr/>
      </xdr:nvCxnSpPr>
      <xdr:spPr>
        <a:xfrm>
          <a:off x="6970059" y="6331324"/>
          <a:ext cx="1837765"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578223</xdr:colOff>
      <xdr:row>32</xdr:row>
      <xdr:rowOff>40341</xdr:rowOff>
    </xdr:from>
    <xdr:to>
      <xdr:col>34</xdr:col>
      <xdr:colOff>11206</xdr:colOff>
      <xdr:row>32</xdr:row>
      <xdr:rowOff>40341</xdr:rowOff>
    </xdr:to>
    <xdr:cxnSp macro="">
      <xdr:nvCxnSpPr>
        <xdr:cNvPr id="31" name="Rechte verbindingslijn met pijl 30">
          <a:extLst>
            <a:ext uri="{FF2B5EF4-FFF2-40B4-BE49-F238E27FC236}">
              <a16:creationId xmlns:a16="http://schemas.microsoft.com/office/drawing/2014/main" id="{15BD6FA0-2580-40A5-A384-25C889E9BE03}"/>
            </a:ext>
          </a:extLst>
        </xdr:cNvPr>
        <xdr:cNvCxnSpPr/>
      </xdr:nvCxnSpPr>
      <xdr:spPr>
        <a:xfrm>
          <a:off x="6954370" y="6943165"/>
          <a:ext cx="4879042"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123265</xdr:colOff>
      <xdr:row>13</xdr:row>
      <xdr:rowOff>123264</xdr:rowOff>
    </xdr:from>
    <xdr:to>
      <xdr:col>20</xdr:col>
      <xdr:colOff>459442</xdr:colOff>
      <xdr:row>23</xdr:row>
      <xdr:rowOff>123264</xdr:rowOff>
    </xdr:to>
    <xdr:sp macro="" textlink="">
      <xdr:nvSpPr>
        <xdr:cNvPr id="13" name="Rechthoek 12">
          <a:extLst>
            <a:ext uri="{FF2B5EF4-FFF2-40B4-BE49-F238E27FC236}">
              <a16:creationId xmlns:a16="http://schemas.microsoft.com/office/drawing/2014/main" id="{63F7BBD0-868E-4CF3-A043-501FAD4EDA51}"/>
            </a:ext>
          </a:extLst>
        </xdr:cNvPr>
        <xdr:cNvSpPr/>
      </xdr:nvSpPr>
      <xdr:spPr>
        <a:xfrm>
          <a:off x="14105965" y="2294964"/>
          <a:ext cx="1555377"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18</xdr:col>
      <xdr:colOff>391478</xdr:colOff>
      <xdr:row>19</xdr:row>
      <xdr:rowOff>67234</xdr:rowOff>
    </xdr:from>
    <xdr:to>
      <xdr:col>19</xdr:col>
      <xdr:colOff>212916</xdr:colOff>
      <xdr:row>37</xdr:row>
      <xdr:rowOff>134469</xdr:rowOff>
    </xdr:to>
    <xdr:sp macro="" textlink="">
      <xdr:nvSpPr>
        <xdr:cNvPr id="14" name="Rechthoek 13">
          <a:extLst>
            <a:ext uri="{FF2B5EF4-FFF2-40B4-BE49-F238E27FC236}">
              <a16:creationId xmlns:a16="http://schemas.microsoft.com/office/drawing/2014/main" id="{95C8BBE1-2F4C-4CFE-AF41-E75A9D7183E8}"/>
            </a:ext>
          </a:extLst>
        </xdr:cNvPr>
        <xdr:cNvSpPr/>
      </xdr:nvSpPr>
      <xdr:spPr>
        <a:xfrm rot="16200000">
          <a:off x="12841579" y="4952633"/>
          <a:ext cx="3496235" cy="4310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487848</xdr:colOff>
      <xdr:row>19</xdr:row>
      <xdr:rowOff>17928</xdr:rowOff>
    </xdr:from>
    <xdr:to>
      <xdr:col>20</xdr:col>
      <xdr:colOff>448238</xdr:colOff>
      <xdr:row>23</xdr:row>
      <xdr:rowOff>100851</xdr:rowOff>
    </xdr:to>
    <xdr:sp macro="" textlink="">
      <xdr:nvSpPr>
        <xdr:cNvPr id="15" name="Rechthoek 14">
          <a:extLst>
            <a:ext uri="{FF2B5EF4-FFF2-40B4-BE49-F238E27FC236}">
              <a16:creationId xmlns:a16="http://schemas.microsoft.com/office/drawing/2014/main" id="{215E4473-E151-467C-9CE9-A6EBE372143F}"/>
            </a:ext>
          </a:extLst>
        </xdr:cNvPr>
        <xdr:cNvSpPr/>
      </xdr:nvSpPr>
      <xdr:spPr>
        <a:xfrm rot="16200000">
          <a:off x="14942681" y="3508195"/>
          <a:ext cx="844923" cy="5699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324970</xdr:colOff>
      <xdr:row>19</xdr:row>
      <xdr:rowOff>0</xdr:rowOff>
    </xdr:from>
    <xdr:to>
      <xdr:col>19</xdr:col>
      <xdr:colOff>324970</xdr:colOff>
      <xdr:row>31</xdr:row>
      <xdr:rowOff>179294</xdr:rowOff>
    </xdr:to>
    <xdr:cxnSp macro="">
      <xdr:nvCxnSpPr>
        <xdr:cNvPr id="16" name="Rechte verbindingslijn met pijl 15">
          <a:extLst>
            <a:ext uri="{FF2B5EF4-FFF2-40B4-BE49-F238E27FC236}">
              <a16:creationId xmlns:a16="http://schemas.microsoft.com/office/drawing/2014/main" id="{9B8366E5-3FB5-4AE3-B206-3A8C26A45BA4}"/>
            </a:ext>
          </a:extLst>
        </xdr:cNvPr>
        <xdr:cNvCxnSpPr/>
      </xdr:nvCxnSpPr>
      <xdr:spPr>
        <a:xfrm>
          <a:off x="14917270" y="3352800"/>
          <a:ext cx="0" cy="246529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320487</xdr:colOff>
      <xdr:row>19</xdr:row>
      <xdr:rowOff>11205</xdr:rowOff>
    </xdr:from>
    <xdr:to>
      <xdr:col>24</xdr:col>
      <xdr:colOff>11206</xdr:colOff>
      <xdr:row>19</xdr:row>
      <xdr:rowOff>17929</xdr:rowOff>
    </xdr:to>
    <xdr:cxnSp macro="">
      <xdr:nvCxnSpPr>
        <xdr:cNvPr id="17" name="Rechte verbindingslijn met pijl 16">
          <a:extLst>
            <a:ext uri="{FF2B5EF4-FFF2-40B4-BE49-F238E27FC236}">
              <a16:creationId xmlns:a16="http://schemas.microsoft.com/office/drawing/2014/main" id="{1E433B7F-6550-4704-B347-D48B5F79D31C}"/>
            </a:ext>
          </a:extLst>
        </xdr:cNvPr>
        <xdr:cNvCxnSpPr/>
      </xdr:nvCxnSpPr>
      <xdr:spPr>
        <a:xfrm flipV="1">
          <a:off x="14912787" y="3364005"/>
          <a:ext cx="2738719" cy="67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600636</xdr:colOff>
      <xdr:row>17</xdr:row>
      <xdr:rowOff>6724</xdr:rowOff>
    </xdr:from>
    <xdr:to>
      <xdr:col>22</xdr:col>
      <xdr:colOff>578223</xdr:colOff>
      <xdr:row>17</xdr:row>
      <xdr:rowOff>6724</xdr:rowOff>
    </xdr:to>
    <xdr:cxnSp macro="">
      <xdr:nvCxnSpPr>
        <xdr:cNvPr id="18" name="Rechte verbindingslijn met pijl 17">
          <a:extLst>
            <a:ext uri="{FF2B5EF4-FFF2-40B4-BE49-F238E27FC236}">
              <a16:creationId xmlns:a16="http://schemas.microsoft.com/office/drawing/2014/main" id="{B30FB4AC-0A90-40F9-AC8E-878805DB3621}"/>
            </a:ext>
          </a:extLst>
        </xdr:cNvPr>
        <xdr:cNvCxnSpPr/>
      </xdr:nvCxnSpPr>
      <xdr:spPr>
        <a:xfrm>
          <a:off x="15802536" y="2978524"/>
          <a:ext cx="1196787"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267067</xdr:colOff>
      <xdr:row>19</xdr:row>
      <xdr:rowOff>0</xdr:rowOff>
    </xdr:from>
    <xdr:to>
      <xdr:col>19</xdr:col>
      <xdr:colOff>285750</xdr:colOff>
      <xdr:row>22</xdr:row>
      <xdr:rowOff>124911</xdr:rowOff>
    </xdr:to>
    <xdr:cxnSp macro="">
      <xdr:nvCxnSpPr>
        <xdr:cNvPr id="19" name="Rechte verbindingslijn met pijl 18">
          <a:extLst>
            <a:ext uri="{FF2B5EF4-FFF2-40B4-BE49-F238E27FC236}">
              <a16:creationId xmlns:a16="http://schemas.microsoft.com/office/drawing/2014/main" id="{C8919DCE-6CB0-4ACF-8105-C7BADF0C2D3B}"/>
            </a:ext>
          </a:extLst>
        </xdr:cNvPr>
        <xdr:cNvCxnSpPr>
          <a:stCxn id="21" idx="0"/>
        </xdr:cNvCxnSpPr>
      </xdr:nvCxnSpPr>
      <xdr:spPr>
        <a:xfrm flipV="1">
          <a:off x="10763617" y="3733800"/>
          <a:ext cx="1237883" cy="734511"/>
        </a:xfrm>
        <a:prstGeom prst="straightConnector1">
          <a:avLst/>
        </a:prstGeom>
        <a:ln w="571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2</xdr:row>
      <xdr:rowOff>104775</xdr:rowOff>
    </xdr:from>
    <xdr:to>
      <xdr:col>19</xdr:col>
      <xdr:colOff>323850</xdr:colOff>
      <xdr:row>35</xdr:row>
      <xdr:rowOff>152400</xdr:rowOff>
    </xdr:to>
    <xdr:cxnSp macro="">
      <xdr:nvCxnSpPr>
        <xdr:cNvPr id="20" name="Rechte verbindingslijn 19">
          <a:extLst>
            <a:ext uri="{FF2B5EF4-FFF2-40B4-BE49-F238E27FC236}">
              <a16:creationId xmlns:a16="http://schemas.microsoft.com/office/drawing/2014/main" id="{CDE5642E-C578-4642-93E5-DC71464C4B88}"/>
            </a:ext>
          </a:extLst>
        </xdr:cNvPr>
        <xdr:cNvCxnSpPr/>
      </xdr:nvCxnSpPr>
      <xdr:spPr>
        <a:xfrm>
          <a:off x="14916150" y="104775"/>
          <a:ext cx="0" cy="6448425"/>
        </a:xfrm>
        <a:prstGeom prst="line">
          <a:avLst/>
        </a:prstGeom>
        <a:ln w="19050">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66674</xdr:colOff>
      <xdr:row>11</xdr:row>
      <xdr:rowOff>133350</xdr:rowOff>
    </xdr:from>
    <xdr:to>
      <xdr:col>21</xdr:col>
      <xdr:colOff>508274</xdr:colOff>
      <xdr:row>26</xdr:row>
      <xdr:rowOff>70125</xdr:rowOff>
    </xdr:to>
    <xdr:sp macro="" textlink="">
      <xdr:nvSpPr>
        <xdr:cNvPr id="21" name="Boog 20">
          <a:extLst>
            <a:ext uri="{FF2B5EF4-FFF2-40B4-BE49-F238E27FC236}">
              <a16:creationId xmlns:a16="http://schemas.microsoft.com/office/drawing/2014/main" id="{74B832E0-37B1-4F20-9723-07486CC65378}"/>
            </a:ext>
          </a:extLst>
        </xdr:cNvPr>
        <xdr:cNvSpPr/>
      </xdr:nvSpPr>
      <xdr:spPr>
        <a:xfrm rot="5400000" flipV="1">
          <a:off x="10529886" y="2376488"/>
          <a:ext cx="2946675" cy="2880000"/>
        </a:xfrm>
        <a:prstGeom prst="arc">
          <a:avLst>
            <a:gd name="adj1" fmla="val 18035351"/>
            <a:gd name="adj2" fmla="val 0"/>
          </a:avLst>
        </a:prstGeom>
        <a:ln w="38100">
          <a:solidFill>
            <a:srgbClr val="00B050"/>
          </a:solidFill>
        </a:ln>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nl-NL" sz="1100"/>
        </a:p>
      </xdr:txBody>
    </xdr:sp>
    <xdr:clientData/>
  </xdr:twoCellAnchor>
  <xdr:twoCellAnchor>
    <xdr:from>
      <xdr:col>16</xdr:col>
      <xdr:colOff>457200</xdr:colOff>
      <xdr:row>19</xdr:row>
      <xdr:rowOff>76201</xdr:rowOff>
    </xdr:from>
    <xdr:to>
      <xdr:col>18</xdr:col>
      <xdr:colOff>66675</xdr:colOff>
      <xdr:row>20</xdr:row>
      <xdr:rowOff>152401</xdr:rowOff>
    </xdr:to>
    <xdr:sp macro="" textlink="">
      <xdr:nvSpPr>
        <xdr:cNvPr id="22" name="Tekstvak 21">
          <a:extLst>
            <a:ext uri="{FF2B5EF4-FFF2-40B4-BE49-F238E27FC236}">
              <a16:creationId xmlns:a16="http://schemas.microsoft.com/office/drawing/2014/main" id="{B480B661-CC88-4982-8E39-42CA13C73F41}"/>
            </a:ext>
          </a:extLst>
        </xdr:cNvPr>
        <xdr:cNvSpPr txBox="1"/>
      </xdr:nvSpPr>
      <xdr:spPr>
        <a:xfrm>
          <a:off x="13220700" y="3429001"/>
          <a:ext cx="8286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Windhoek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605117</xdr:colOff>
      <xdr:row>7</xdr:row>
      <xdr:rowOff>0</xdr:rowOff>
    </xdr:from>
    <xdr:to>
      <xdr:col>36</xdr:col>
      <xdr:colOff>71963</xdr:colOff>
      <xdr:row>37</xdr:row>
      <xdr:rowOff>123265</xdr:rowOff>
    </xdr:to>
    <xdr:pic>
      <xdr:nvPicPr>
        <xdr:cNvPr id="2" name="Afbeelding 1">
          <a:extLst>
            <a:ext uri="{FF2B5EF4-FFF2-40B4-BE49-F238E27FC236}">
              <a16:creationId xmlns:a16="http://schemas.microsoft.com/office/drawing/2014/main" id="{EF4EF174-B12D-423E-9101-2EA87A080D16}"/>
            </a:ext>
          </a:extLst>
        </xdr:cNvPr>
        <xdr:cNvPicPr>
          <a:picLocks noChangeAspect="1"/>
        </xdr:cNvPicPr>
      </xdr:nvPicPr>
      <xdr:blipFill>
        <a:blip xmlns:r="http://schemas.openxmlformats.org/officeDocument/2006/relationships" r:embed="rId1"/>
        <a:stretch>
          <a:fillRect/>
        </a:stretch>
      </xdr:blipFill>
      <xdr:spPr>
        <a:xfrm>
          <a:off x="10981764" y="1344706"/>
          <a:ext cx="10964081" cy="617444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iaat@nvaf.n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0394-2D76-4A34-B483-23EE9586796E}">
  <dimension ref="A1:F26"/>
  <sheetViews>
    <sheetView tabSelected="1" workbookViewId="0">
      <selection activeCell="M17" sqref="M17"/>
    </sheetView>
  </sheetViews>
  <sheetFormatPr defaultRowHeight="15" x14ac:dyDescent="0.25"/>
  <cols>
    <col min="5" max="5" width="9.42578125" bestFit="1" customWidth="1"/>
    <col min="6" max="6" width="51" bestFit="1" customWidth="1"/>
  </cols>
  <sheetData>
    <row r="1" spans="1:2" x14ac:dyDescent="0.25">
      <c r="A1" s="31" t="s">
        <v>436</v>
      </c>
    </row>
    <row r="13" spans="1:2" x14ac:dyDescent="0.25">
      <c r="A13" t="s">
        <v>420</v>
      </c>
    </row>
    <row r="14" spans="1:2" x14ac:dyDescent="0.25">
      <c r="A14" t="s">
        <v>421</v>
      </c>
      <c r="B14" t="s">
        <v>422</v>
      </c>
    </row>
    <row r="15" spans="1:2" x14ac:dyDescent="0.25">
      <c r="A15" t="s">
        <v>423</v>
      </c>
      <c r="B15" s="176" t="s">
        <v>424</v>
      </c>
    </row>
    <row r="17" spans="1:6" x14ac:dyDescent="0.25">
      <c r="A17" s="31" t="s">
        <v>425</v>
      </c>
    </row>
    <row r="18" spans="1:6" ht="15.75" thickBot="1" x14ac:dyDescent="0.3">
      <c r="D18" s="177"/>
      <c r="E18" s="177"/>
    </row>
    <row r="19" spans="1:6" x14ac:dyDescent="0.25">
      <c r="A19" s="484" t="s">
        <v>428</v>
      </c>
      <c r="B19" s="485"/>
      <c r="C19" s="486"/>
      <c r="D19" s="486"/>
      <c r="E19" s="487" t="s">
        <v>345</v>
      </c>
      <c r="F19" s="488" t="s">
        <v>433</v>
      </c>
    </row>
    <row r="20" spans="1:6" ht="30" x14ac:dyDescent="0.25">
      <c r="A20" s="489" t="s">
        <v>429</v>
      </c>
      <c r="B20" s="114" t="s">
        <v>430</v>
      </c>
      <c r="C20" s="115"/>
      <c r="D20" s="115"/>
      <c r="E20" s="178"/>
      <c r="F20" s="490" t="s">
        <v>434</v>
      </c>
    </row>
    <row r="21" spans="1:6" x14ac:dyDescent="0.25">
      <c r="A21" s="491" t="s">
        <v>427</v>
      </c>
      <c r="B21" s="179" t="s">
        <v>431</v>
      </c>
      <c r="C21" s="180"/>
      <c r="D21" s="180"/>
      <c r="E21" s="158"/>
      <c r="F21" s="492"/>
    </row>
    <row r="22" spans="1:6" x14ac:dyDescent="0.25">
      <c r="A22" s="493" t="s">
        <v>432</v>
      </c>
      <c r="B22" s="114" t="s">
        <v>426</v>
      </c>
      <c r="C22" s="115"/>
      <c r="D22" s="115"/>
      <c r="E22" s="483">
        <v>44572</v>
      </c>
      <c r="F22" s="494" t="s">
        <v>435</v>
      </c>
    </row>
    <row r="23" spans="1:6" x14ac:dyDescent="0.25">
      <c r="A23" s="493"/>
      <c r="B23" s="114"/>
      <c r="C23" s="115"/>
      <c r="D23" s="115"/>
      <c r="E23" s="178"/>
      <c r="F23" s="494"/>
    </row>
    <row r="24" spans="1:6" x14ac:dyDescent="0.25">
      <c r="A24" s="493"/>
      <c r="B24" s="114"/>
      <c r="C24" s="115"/>
      <c r="D24" s="115"/>
      <c r="E24" s="178"/>
      <c r="F24" s="494"/>
    </row>
    <row r="25" spans="1:6" x14ac:dyDescent="0.25">
      <c r="A25" s="493"/>
      <c r="B25" s="114"/>
      <c r="C25" s="115"/>
      <c r="D25" s="115"/>
      <c r="E25" s="178"/>
      <c r="F25" s="494"/>
    </row>
    <row r="26" spans="1:6" ht="15.75" thickBot="1" x14ac:dyDescent="0.3">
      <c r="A26" s="495"/>
      <c r="B26" s="496"/>
      <c r="C26" s="32"/>
      <c r="D26" s="32"/>
      <c r="E26" s="497"/>
      <c r="F26" s="498"/>
    </row>
  </sheetData>
  <hyperlinks>
    <hyperlink ref="B15" r:id="rId1" xr:uid="{4FB0911A-9B32-421F-B5A2-55E8670D9055}"/>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E775-2F8B-4EDC-975A-8BAF3641AC7C}">
  <sheetPr>
    <tabColor rgb="FF0061AD"/>
  </sheetPr>
  <dimension ref="A1:AI127"/>
  <sheetViews>
    <sheetView zoomScale="85" zoomScaleNormal="85" workbookViewId="0">
      <selection activeCell="W41" sqref="W41"/>
    </sheetView>
  </sheetViews>
  <sheetFormatPr defaultRowHeight="15" x14ac:dyDescent="0.25"/>
  <cols>
    <col min="1" max="1" width="9.140625" style="255"/>
    <col min="2" max="2" width="11.5703125" style="255" customWidth="1"/>
    <col min="3" max="3" width="12.140625" style="255" customWidth="1"/>
    <col min="4" max="4" width="9.140625" style="255"/>
    <col min="5" max="5" width="10.85546875" style="255" customWidth="1"/>
    <col min="6" max="11" width="9.140625" style="255"/>
    <col min="12" max="12" width="9.140625" style="255" customWidth="1"/>
    <col min="13" max="13" width="9.140625" style="255"/>
    <col min="14" max="14" width="10.28515625" style="255" customWidth="1"/>
    <col min="15" max="15" width="10.85546875" style="255" customWidth="1"/>
    <col min="16" max="24" width="9.140625" style="255"/>
    <col min="25" max="25" width="0" style="255" hidden="1" customWidth="1"/>
    <col min="26" max="16384" width="9.140625" style="255"/>
  </cols>
  <sheetData>
    <row r="1" spans="1:35" x14ac:dyDescent="0.25">
      <c r="A1" s="250"/>
      <c r="B1" s="251" t="s">
        <v>183</v>
      </c>
      <c r="C1" s="250"/>
      <c r="D1" s="250"/>
      <c r="E1" s="250"/>
      <c r="F1" s="252" t="s">
        <v>437</v>
      </c>
      <c r="G1" s="250"/>
      <c r="H1" s="250"/>
      <c r="I1" s="250"/>
      <c r="J1" s="250"/>
      <c r="K1" s="250"/>
      <c r="L1" s="250"/>
      <c r="M1" s="250"/>
      <c r="N1" s="250"/>
      <c r="O1" s="250"/>
      <c r="P1" s="250"/>
      <c r="Q1" s="250"/>
      <c r="R1" s="250"/>
      <c r="S1" s="250"/>
      <c r="T1" s="250"/>
      <c r="U1" s="250"/>
      <c r="V1" s="250"/>
      <c r="W1" s="250"/>
      <c r="X1" s="250"/>
      <c r="Y1" s="250"/>
      <c r="Z1" s="250"/>
      <c r="AA1" s="250"/>
      <c r="AB1" s="253" t="s">
        <v>208</v>
      </c>
      <c r="AC1" s="250"/>
      <c r="AD1" s="254">
        <f>'Invoer 5 - Draagvermogen'!T5</f>
        <v>-3.5</v>
      </c>
      <c r="AE1" s="250"/>
      <c r="AF1" s="250"/>
      <c r="AG1" s="250"/>
      <c r="AH1" s="250"/>
      <c r="AI1" s="255" t="s">
        <v>29</v>
      </c>
    </row>
    <row r="2" spans="1:35" x14ac:dyDescent="0.25">
      <c r="A2" s="250"/>
      <c r="B2" s="256" t="s">
        <v>209</v>
      </c>
      <c r="C2" s="257">
        <v>-1.55</v>
      </c>
      <c r="D2" s="254" t="s">
        <v>240</v>
      </c>
      <c r="E2" s="250"/>
      <c r="F2" s="255" t="s">
        <v>487</v>
      </c>
      <c r="G2" s="253"/>
      <c r="H2" s="250"/>
      <c r="I2" s="250"/>
      <c r="J2" s="258"/>
      <c r="K2" s="259"/>
      <c r="L2" s="250"/>
      <c r="M2" s="250"/>
      <c r="N2" s="250"/>
      <c r="O2" s="250"/>
      <c r="P2" s="250"/>
      <c r="Q2" s="250"/>
      <c r="R2" s="250"/>
      <c r="S2" s="250"/>
      <c r="T2" s="250"/>
      <c r="U2" s="250"/>
      <c r="V2" s="250"/>
      <c r="W2" s="250"/>
      <c r="X2" s="250"/>
      <c r="Y2" s="250"/>
      <c r="Z2" s="250"/>
      <c r="AA2" s="250"/>
      <c r="AB2" s="250"/>
      <c r="AC2" s="250"/>
      <c r="AD2" s="250"/>
      <c r="AE2" s="250"/>
      <c r="AF2" s="250"/>
      <c r="AG2" s="250"/>
      <c r="AH2" s="250"/>
      <c r="AI2" s="255" t="s">
        <v>30</v>
      </c>
    </row>
    <row r="3" spans="1:35" x14ac:dyDescent="0.25">
      <c r="A3" s="250"/>
      <c r="B3" s="256" t="s">
        <v>210</v>
      </c>
      <c r="C3" s="257">
        <v>-2</v>
      </c>
      <c r="D3" s="255" t="s">
        <v>240</v>
      </c>
      <c r="F3" s="260" t="s">
        <v>488</v>
      </c>
      <c r="G3" s="250"/>
      <c r="H3" s="250"/>
      <c r="I3" s="250"/>
      <c r="J3" s="250"/>
      <c r="K3" s="250"/>
      <c r="L3" s="250"/>
      <c r="M3" s="250"/>
      <c r="N3" s="250"/>
      <c r="O3" s="250"/>
      <c r="P3" s="250"/>
      <c r="Q3" s="250"/>
      <c r="R3" s="250"/>
      <c r="S3" s="250"/>
      <c r="T3" s="250"/>
      <c r="U3" s="250"/>
      <c r="V3" s="250"/>
      <c r="W3" s="250"/>
      <c r="X3" s="250"/>
      <c r="Y3" s="250"/>
      <c r="Z3" s="250"/>
      <c r="AA3" s="250"/>
      <c r="AB3" s="253" t="s">
        <v>211</v>
      </c>
      <c r="AC3" s="250"/>
      <c r="AD3" s="250"/>
      <c r="AE3" s="250"/>
      <c r="AF3" s="250"/>
      <c r="AG3" s="250"/>
      <c r="AH3" s="250"/>
    </row>
    <row r="4" spans="1:35" x14ac:dyDescent="0.25">
      <c r="A4" s="250"/>
      <c r="B4" s="256" t="s">
        <v>314</v>
      </c>
      <c r="C4" s="257" t="s">
        <v>29</v>
      </c>
      <c r="F4" s="260" t="s">
        <v>489</v>
      </c>
      <c r="G4" s="250"/>
      <c r="H4" s="250"/>
      <c r="I4" s="250"/>
      <c r="J4" s="250"/>
      <c r="K4" s="250"/>
      <c r="L4" s="250"/>
      <c r="M4" s="250"/>
      <c r="N4" s="250"/>
      <c r="O4" s="250"/>
      <c r="P4" s="250"/>
      <c r="Q4" s="250"/>
      <c r="R4" s="250"/>
      <c r="S4" s="250"/>
      <c r="T4" s="250"/>
      <c r="U4" s="250"/>
      <c r="V4" s="250"/>
      <c r="W4" s="250"/>
      <c r="X4" s="250"/>
      <c r="Y4" s="250"/>
      <c r="Z4" s="250"/>
      <c r="AA4" s="250"/>
      <c r="AB4" s="253"/>
      <c r="AC4" s="250"/>
      <c r="AD4" s="250"/>
      <c r="AE4" s="250"/>
      <c r="AF4" s="250"/>
      <c r="AG4" s="250"/>
      <c r="AH4" s="250"/>
    </row>
    <row r="5" spans="1:35" x14ac:dyDescent="0.25">
      <c r="A5" s="250"/>
      <c r="B5" s="256" t="s">
        <v>184</v>
      </c>
      <c r="C5" s="254">
        <f>'Invoer 5 - Draagvermogen'!B11</f>
        <v>0</v>
      </c>
      <c r="D5" s="261" t="s">
        <v>15</v>
      </c>
      <c r="E5" s="250"/>
      <c r="F5" s="260" t="s">
        <v>490</v>
      </c>
      <c r="G5" s="250"/>
      <c r="H5" s="250"/>
      <c r="I5" s="250"/>
      <c r="J5" s="250"/>
      <c r="K5" s="250"/>
      <c r="L5" s="250"/>
      <c r="M5" s="250"/>
      <c r="N5" s="250"/>
      <c r="O5" s="250"/>
      <c r="P5" s="250"/>
      <c r="Q5" s="250"/>
      <c r="R5" s="250"/>
      <c r="S5" s="250"/>
      <c r="T5" s="250"/>
      <c r="U5" s="250"/>
      <c r="V5" s="250"/>
      <c r="W5" s="250"/>
      <c r="X5" s="250"/>
      <c r="Y5" s="250"/>
      <c r="Z5" s="250"/>
      <c r="AA5" s="250"/>
      <c r="AB5" s="253"/>
      <c r="AC5" s="250"/>
      <c r="AD5" s="250"/>
      <c r="AE5" s="250"/>
      <c r="AF5" s="250"/>
      <c r="AG5" s="250"/>
      <c r="AH5" s="250"/>
    </row>
    <row r="6" spans="1:35" x14ac:dyDescent="0.25">
      <c r="A6" s="250"/>
      <c r="B6" s="256"/>
      <c r="C6" s="254"/>
      <c r="D6" s="261"/>
      <c r="E6" s="250"/>
      <c r="F6" s="262" t="s">
        <v>491</v>
      </c>
      <c r="G6" s="250"/>
      <c r="H6" s="250"/>
      <c r="I6" s="250"/>
      <c r="J6" s="250"/>
      <c r="K6" s="250"/>
      <c r="L6" s="250"/>
      <c r="M6" s="250"/>
      <c r="N6" s="250"/>
      <c r="O6" s="250"/>
      <c r="P6" s="250"/>
      <c r="Q6" s="250"/>
      <c r="R6" s="250"/>
      <c r="S6" s="250"/>
      <c r="T6" s="250"/>
      <c r="U6" s="250"/>
      <c r="V6" s="250"/>
      <c r="W6" s="250"/>
      <c r="X6" s="250"/>
      <c r="Y6" s="250"/>
      <c r="Z6" s="250"/>
      <c r="AA6" s="250"/>
      <c r="AB6" s="253"/>
      <c r="AC6" s="250"/>
      <c r="AD6" s="250"/>
      <c r="AE6" s="250"/>
      <c r="AF6" s="250"/>
      <c r="AG6" s="250"/>
      <c r="AH6" s="250"/>
    </row>
    <row r="7" spans="1:35" ht="15.75" thickBot="1" x14ac:dyDescent="0.3">
      <c r="A7" s="250"/>
      <c r="B7" s="256"/>
      <c r="C7" s="254"/>
      <c r="D7" s="261"/>
      <c r="E7" s="250"/>
      <c r="F7" s="262"/>
      <c r="G7" s="250"/>
      <c r="H7" s="250"/>
      <c r="I7" s="250"/>
      <c r="J7" s="250"/>
      <c r="K7" s="250"/>
      <c r="L7" s="250"/>
      <c r="M7" s="250"/>
      <c r="N7" s="250"/>
      <c r="O7" s="250"/>
      <c r="P7" s="250"/>
      <c r="Q7" s="250"/>
      <c r="R7" s="250"/>
      <c r="S7" s="250"/>
      <c r="T7" s="250"/>
      <c r="U7" s="250"/>
      <c r="V7" s="250"/>
      <c r="W7" s="250"/>
      <c r="X7" s="250"/>
      <c r="Y7" s="250"/>
      <c r="Z7" s="250"/>
      <c r="AA7" s="250"/>
      <c r="AB7" s="253"/>
      <c r="AC7" s="250"/>
      <c r="AD7" s="250"/>
      <c r="AE7" s="250"/>
      <c r="AF7" s="250"/>
      <c r="AG7" s="250"/>
      <c r="AH7" s="250"/>
    </row>
    <row r="8" spans="1:35" ht="25.5" x14ac:dyDescent="0.25">
      <c r="A8" s="250"/>
      <c r="B8" s="263" t="s">
        <v>186</v>
      </c>
      <c r="C8" s="264" t="s">
        <v>187</v>
      </c>
      <c r="D8" s="264" t="s">
        <v>188</v>
      </c>
      <c r="E8" s="265" t="s">
        <v>185</v>
      </c>
      <c r="F8" s="266" t="s">
        <v>189</v>
      </c>
      <c r="G8" s="264" t="s">
        <v>190</v>
      </c>
      <c r="H8" s="264" t="s">
        <v>191</v>
      </c>
      <c r="I8" s="264" t="s">
        <v>192</v>
      </c>
      <c r="J8" s="264" t="s">
        <v>193</v>
      </c>
      <c r="K8" s="264" t="s">
        <v>194</v>
      </c>
      <c r="L8" s="267" t="s">
        <v>195</v>
      </c>
      <c r="M8" s="268" t="s">
        <v>196</v>
      </c>
      <c r="N8" s="269" t="s">
        <v>492</v>
      </c>
      <c r="O8" s="269" t="s">
        <v>197</v>
      </c>
      <c r="AA8" s="250"/>
      <c r="AB8" s="250"/>
      <c r="AC8" s="250"/>
      <c r="AD8" s="250"/>
      <c r="AE8" s="250"/>
      <c r="AF8" s="250"/>
      <c r="AG8" s="250"/>
      <c r="AH8" s="250"/>
    </row>
    <row r="9" spans="1:35" ht="15.75" thickBot="1" x14ac:dyDescent="0.3">
      <c r="A9" s="250"/>
      <c r="B9" s="270" t="s">
        <v>198</v>
      </c>
      <c r="C9" s="271" t="s">
        <v>198</v>
      </c>
      <c r="D9" s="271" t="s">
        <v>15</v>
      </c>
      <c r="E9" s="271" t="s">
        <v>116</v>
      </c>
      <c r="F9" s="271" t="s">
        <v>199</v>
      </c>
      <c r="G9" s="271" t="s">
        <v>199</v>
      </c>
      <c r="H9" s="272"/>
      <c r="I9" s="272"/>
      <c r="J9" s="271" t="s">
        <v>200</v>
      </c>
      <c r="K9" s="271" t="s">
        <v>28</v>
      </c>
      <c r="L9" s="273" t="s">
        <v>200</v>
      </c>
      <c r="M9" s="274" t="s">
        <v>200</v>
      </c>
      <c r="N9" s="275"/>
      <c r="O9" s="276" t="s">
        <v>28</v>
      </c>
      <c r="AA9" s="250"/>
      <c r="AB9" s="277" t="s">
        <v>212</v>
      </c>
      <c r="AC9" s="253" t="s">
        <v>213</v>
      </c>
      <c r="AD9" s="277" t="s">
        <v>214</v>
      </c>
      <c r="AE9" s="250"/>
      <c r="AF9" s="250"/>
      <c r="AG9" s="250"/>
      <c r="AH9" s="250"/>
    </row>
    <row r="10" spans="1:35" x14ac:dyDescent="0.25">
      <c r="A10" s="250"/>
      <c r="B10" s="230">
        <f>C2+C5</f>
        <v>-1.55</v>
      </c>
      <c r="C10" s="313">
        <f>C2</f>
        <v>-1.55</v>
      </c>
      <c r="D10" s="231">
        <f>IF(B10-C10&lt;0,0,B10-C10)</f>
        <v>0</v>
      </c>
      <c r="E10" s="279" t="str">
        <f>'Invoer 5 - Draagvermogen'!B17</f>
        <v>Zand</v>
      </c>
      <c r="F10" s="280">
        <f>'Invoer 5 - Draagvermogen'!B12</f>
        <v>17</v>
      </c>
      <c r="G10" s="280">
        <f>'Invoer 5 - Draagvermogen'!B13</f>
        <v>19</v>
      </c>
      <c r="H10" s="233">
        <f t="shared" ref="H10:H20" si="0">IF($C$3-C10&lt;0,0,($C$3-C10)*10)</f>
        <v>0</v>
      </c>
      <c r="I10" s="233">
        <f>IF(C10&gt;=$C$3,F10,G10)*D10</f>
        <v>0</v>
      </c>
      <c r="J10" s="233">
        <f t="shared" ref="J10:J20" si="1">I10-H10</f>
        <v>0</v>
      </c>
      <c r="K10" s="280">
        <f>'Invoer 5 - Draagvermogen'!B14</f>
        <v>30</v>
      </c>
      <c r="L10" s="281">
        <f>'Invoer 5 - Draagvermogen'!B15</f>
        <v>0</v>
      </c>
      <c r="M10" s="282">
        <f>'Invoer 5 - Draagvermogen'!B16</f>
        <v>0</v>
      </c>
      <c r="N10" s="311">
        <f>K10*D10</f>
        <v>0</v>
      </c>
      <c r="O10" s="237" t="e">
        <f>N10/D10</f>
        <v>#DIV/0!</v>
      </c>
      <c r="Z10" s="250" t="str">
        <f t="shared" ref="Z10:Z20" si="2">E10</f>
        <v>Zand</v>
      </c>
      <c r="AA10" s="255">
        <f>VLOOKUP(Z10,$AG$10:$AH$16,2,0)</f>
        <v>1</v>
      </c>
      <c r="AB10" s="250" t="str">
        <f>IF(OR(AA10=2,AA10=3,AA10=4,AA10=5),"Ja","Nee")</f>
        <v>Nee</v>
      </c>
      <c r="AC10" s="250"/>
      <c r="AD10" s="253" t="str">
        <f>IF(AC10&gt;6,"Ja","Nee")</f>
        <v>Nee</v>
      </c>
      <c r="AE10" s="250"/>
      <c r="AF10" s="250"/>
      <c r="AG10" s="253" t="s">
        <v>215</v>
      </c>
      <c r="AH10" s="250">
        <v>0</v>
      </c>
    </row>
    <row r="11" spans="1:35" x14ac:dyDescent="0.25">
      <c r="A11" s="250"/>
      <c r="B11" s="230">
        <f>C10</f>
        <v>-1.55</v>
      </c>
      <c r="C11" s="283">
        <v>-2</v>
      </c>
      <c r="D11" s="231">
        <f t="shared" ref="D11:D20" si="3">IF(B11-C11&lt;0,0,B11-C11)</f>
        <v>0.44999999999999996</v>
      </c>
      <c r="E11" s="284" t="s">
        <v>201</v>
      </c>
      <c r="F11" s="280">
        <v>17</v>
      </c>
      <c r="G11" s="280">
        <v>19</v>
      </c>
      <c r="H11" s="233">
        <f t="shared" si="0"/>
        <v>0</v>
      </c>
      <c r="I11" s="233">
        <f t="shared" ref="I11:I20" si="4">IF(C11&gt;=$C$3,F11,G11)*D11+I10</f>
        <v>7.6499999999999995</v>
      </c>
      <c r="J11" s="233">
        <f t="shared" si="1"/>
        <v>7.6499999999999995</v>
      </c>
      <c r="K11" s="280">
        <v>30</v>
      </c>
      <c r="L11" s="281">
        <v>0</v>
      </c>
      <c r="M11" s="282">
        <v>0</v>
      </c>
      <c r="N11" s="311">
        <f t="shared" ref="N11:N20" si="5">K11*D11+N10</f>
        <v>13.499999999999998</v>
      </c>
      <c r="O11" s="237">
        <f>N11/SUM($D$10:D11)</f>
        <v>30</v>
      </c>
      <c r="Z11" s="250" t="str">
        <f t="shared" si="2"/>
        <v>Zand</v>
      </c>
      <c r="AA11" s="255">
        <f t="shared" ref="AA11:AA20" si="6">VLOOKUP(Z11,$AG$10:$AH$16,2,0)</f>
        <v>1</v>
      </c>
      <c r="AB11" s="250" t="str">
        <f t="shared" ref="AB11:AB20" si="7">IF(OR(AA11=2,AA11=3,AA11=4,AA11=5),"Ja","Nee")</f>
        <v>Nee</v>
      </c>
      <c r="AC11" s="285">
        <f t="shared" ref="AC11:AC20" si="8">K10-K11</f>
        <v>0</v>
      </c>
      <c r="AD11" s="253" t="str">
        <f>IF(AC11&gt;6,"Ja","Nee")</f>
        <v>Nee</v>
      </c>
      <c r="AE11" s="250">
        <f>IF(AND(AB11="Ja",AD11="Ja"),1,0)</f>
        <v>0</v>
      </c>
      <c r="AF11" s="250"/>
      <c r="AG11" s="253" t="s">
        <v>201</v>
      </c>
      <c r="AH11" s="250">
        <v>1</v>
      </c>
    </row>
    <row r="12" spans="1:35" x14ac:dyDescent="0.25">
      <c r="A12" s="250"/>
      <c r="B12" s="230">
        <f t="shared" ref="B12:B18" si="9">C11</f>
        <v>-2</v>
      </c>
      <c r="C12" s="283">
        <v>-3.5</v>
      </c>
      <c r="D12" s="231">
        <f t="shared" si="3"/>
        <v>1.5</v>
      </c>
      <c r="E12" s="284" t="s">
        <v>201</v>
      </c>
      <c r="F12" s="280">
        <v>17</v>
      </c>
      <c r="G12" s="280">
        <v>19</v>
      </c>
      <c r="H12" s="233">
        <f t="shared" si="0"/>
        <v>15</v>
      </c>
      <c r="I12" s="233">
        <f t="shared" si="4"/>
        <v>36.15</v>
      </c>
      <c r="J12" s="233">
        <f t="shared" si="1"/>
        <v>21.15</v>
      </c>
      <c r="K12" s="280">
        <v>30</v>
      </c>
      <c r="L12" s="281">
        <v>0</v>
      </c>
      <c r="M12" s="282">
        <v>0</v>
      </c>
      <c r="N12" s="311">
        <f t="shared" si="5"/>
        <v>58.5</v>
      </c>
      <c r="O12" s="237">
        <f>N12/SUM($D$10:D12)</f>
        <v>30</v>
      </c>
      <c r="Z12" s="250" t="str">
        <f t="shared" si="2"/>
        <v>Zand</v>
      </c>
      <c r="AA12" s="255">
        <f t="shared" si="6"/>
        <v>1</v>
      </c>
      <c r="AB12" s="250" t="str">
        <f t="shared" si="7"/>
        <v>Nee</v>
      </c>
      <c r="AC12" s="285">
        <f t="shared" si="8"/>
        <v>0</v>
      </c>
      <c r="AD12" s="253" t="str">
        <f>IF(AC12&gt;6,"Ja","Nee")</f>
        <v>Nee</v>
      </c>
      <c r="AE12" s="250">
        <f t="shared" ref="AE12:AE20" si="10">IF(AND(AB12="Ja",AD12="Ja"),1,0)</f>
        <v>0</v>
      </c>
      <c r="AF12" s="250"/>
      <c r="AG12" s="253" t="s">
        <v>202</v>
      </c>
      <c r="AH12" s="250">
        <v>2</v>
      </c>
    </row>
    <row r="13" spans="1:35" x14ac:dyDescent="0.25">
      <c r="A13" s="250"/>
      <c r="B13" s="230">
        <f t="shared" si="9"/>
        <v>-3.5</v>
      </c>
      <c r="C13" s="283">
        <v>-6.5</v>
      </c>
      <c r="D13" s="231">
        <f t="shared" si="3"/>
        <v>3</v>
      </c>
      <c r="E13" s="284" t="s">
        <v>203</v>
      </c>
      <c r="F13" s="280">
        <v>11</v>
      </c>
      <c r="G13" s="280">
        <v>11</v>
      </c>
      <c r="H13" s="233">
        <f t="shared" si="0"/>
        <v>45</v>
      </c>
      <c r="I13" s="233">
        <f t="shared" si="4"/>
        <v>69.150000000000006</v>
      </c>
      <c r="J13" s="233">
        <f t="shared" si="1"/>
        <v>24.150000000000006</v>
      </c>
      <c r="K13" s="280">
        <v>15</v>
      </c>
      <c r="L13" s="281">
        <v>2.5</v>
      </c>
      <c r="M13" s="282">
        <v>15</v>
      </c>
      <c r="N13" s="311">
        <f t="shared" si="5"/>
        <v>103.5</v>
      </c>
      <c r="O13" s="237">
        <f>N13/SUM($D$10:D13)</f>
        <v>20.90909090909091</v>
      </c>
      <c r="Z13" s="250" t="str">
        <f t="shared" si="2"/>
        <v>Veen</v>
      </c>
      <c r="AA13" s="255">
        <f t="shared" si="6"/>
        <v>5</v>
      </c>
      <c r="AB13" s="250" t="str">
        <f t="shared" si="7"/>
        <v>Ja</v>
      </c>
      <c r="AC13" s="285">
        <f t="shared" si="8"/>
        <v>15</v>
      </c>
      <c r="AD13" s="253" t="str">
        <f t="shared" ref="AD13:AD20" si="11">IF(AC13&gt;6,"Ja","Nee")</f>
        <v>Ja</v>
      </c>
      <c r="AE13" s="250">
        <f t="shared" si="10"/>
        <v>1</v>
      </c>
      <c r="AF13" s="250"/>
      <c r="AG13" s="253" t="s">
        <v>216</v>
      </c>
      <c r="AH13" s="250">
        <v>3</v>
      </c>
    </row>
    <row r="14" spans="1:35" x14ac:dyDescent="0.25">
      <c r="A14" s="250"/>
      <c r="B14" s="230">
        <f t="shared" si="9"/>
        <v>-6.5</v>
      </c>
      <c r="C14" s="283">
        <v>-9</v>
      </c>
      <c r="D14" s="231">
        <f t="shared" si="3"/>
        <v>2.5</v>
      </c>
      <c r="E14" s="284" t="s">
        <v>202</v>
      </c>
      <c r="F14" s="280">
        <v>12</v>
      </c>
      <c r="G14" s="280">
        <v>12</v>
      </c>
      <c r="H14" s="233">
        <f t="shared" si="0"/>
        <v>70</v>
      </c>
      <c r="I14" s="233">
        <f t="shared" si="4"/>
        <v>99.15</v>
      </c>
      <c r="J14" s="233">
        <f t="shared" si="1"/>
        <v>29.150000000000006</v>
      </c>
      <c r="K14" s="280">
        <v>20</v>
      </c>
      <c r="L14" s="281">
        <v>2.5</v>
      </c>
      <c r="M14" s="282">
        <v>30</v>
      </c>
      <c r="N14" s="311">
        <f t="shared" si="5"/>
        <v>153.5</v>
      </c>
      <c r="O14" s="237">
        <f>N14/SUM($D$10:D14)</f>
        <v>20.604026845637584</v>
      </c>
      <c r="Z14" s="250" t="str">
        <f t="shared" si="2"/>
        <v>Klei</v>
      </c>
      <c r="AA14" s="255">
        <f t="shared" si="6"/>
        <v>2</v>
      </c>
      <c r="AB14" s="250" t="str">
        <f t="shared" si="7"/>
        <v>Ja</v>
      </c>
      <c r="AC14" s="285">
        <f t="shared" si="8"/>
        <v>-5</v>
      </c>
      <c r="AD14" s="253" t="str">
        <f t="shared" si="11"/>
        <v>Nee</v>
      </c>
      <c r="AE14" s="250">
        <f t="shared" si="10"/>
        <v>0</v>
      </c>
      <c r="AF14" s="250"/>
      <c r="AG14" s="253" t="s">
        <v>217</v>
      </c>
      <c r="AH14" s="250">
        <v>4</v>
      </c>
    </row>
    <row r="15" spans="1:35" x14ac:dyDescent="0.25">
      <c r="A15" s="250"/>
      <c r="B15" s="230">
        <f t="shared" si="9"/>
        <v>-9</v>
      </c>
      <c r="C15" s="283">
        <v>-9.5</v>
      </c>
      <c r="D15" s="231">
        <f t="shared" si="3"/>
        <v>0.5</v>
      </c>
      <c r="E15" s="284" t="s">
        <v>203</v>
      </c>
      <c r="F15" s="280">
        <v>18</v>
      </c>
      <c r="G15" s="280">
        <v>20</v>
      </c>
      <c r="H15" s="233">
        <f t="shared" si="0"/>
        <v>75</v>
      </c>
      <c r="I15" s="233">
        <f t="shared" si="4"/>
        <v>109.15</v>
      </c>
      <c r="J15" s="233">
        <f t="shared" si="1"/>
        <v>34.150000000000006</v>
      </c>
      <c r="K15" s="280">
        <v>15</v>
      </c>
      <c r="L15" s="281">
        <v>5</v>
      </c>
      <c r="M15" s="282">
        <v>25</v>
      </c>
      <c r="N15" s="311">
        <f t="shared" si="5"/>
        <v>161</v>
      </c>
      <c r="O15" s="237">
        <f>N15/SUM($D$10:D15)</f>
        <v>20.251572327044023</v>
      </c>
      <c r="Z15" s="250" t="str">
        <f t="shared" si="2"/>
        <v>Veen</v>
      </c>
      <c r="AA15" s="255">
        <f t="shared" si="6"/>
        <v>5</v>
      </c>
      <c r="AB15" s="250" t="str">
        <f t="shared" si="7"/>
        <v>Ja</v>
      </c>
      <c r="AC15" s="285">
        <f t="shared" si="8"/>
        <v>5</v>
      </c>
      <c r="AD15" s="253" t="str">
        <f t="shared" si="11"/>
        <v>Nee</v>
      </c>
      <c r="AE15" s="250">
        <f t="shared" si="10"/>
        <v>0</v>
      </c>
      <c r="AF15" s="250"/>
      <c r="AG15" s="253" t="s">
        <v>203</v>
      </c>
      <c r="AH15" s="250">
        <v>5</v>
      </c>
    </row>
    <row r="16" spans="1:35" x14ac:dyDescent="0.25">
      <c r="A16" s="250"/>
      <c r="B16" s="230">
        <f t="shared" si="9"/>
        <v>-9.5</v>
      </c>
      <c r="C16" s="283">
        <v>-15</v>
      </c>
      <c r="D16" s="231">
        <f t="shared" si="3"/>
        <v>5.5</v>
      </c>
      <c r="E16" s="284" t="s">
        <v>201</v>
      </c>
      <c r="F16" s="280">
        <v>17</v>
      </c>
      <c r="G16" s="280">
        <v>17</v>
      </c>
      <c r="H16" s="233">
        <f t="shared" si="0"/>
        <v>130</v>
      </c>
      <c r="I16" s="233">
        <f t="shared" si="4"/>
        <v>202.65</v>
      </c>
      <c r="J16" s="233">
        <f t="shared" si="1"/>
        <v>72.650000000000006</v>
      </c>
      <c r="K16" s="280">
        <v>30</v>
      </c>
      <c r="L16" s="281">
        <v>0</v>
      </c>
      <c r="M16" s="282">
        <v>0</v>
      </c>
      <c r="N16" s="311">
        <f t="shared" si="5"/>
        <v>326</v>
      </c>
      <c r="O16" s="237">
        <f>N16/SUM($D$10:D16)</f>
        <v>24.237918215613384</v>
      </c>
      <c r="Z16" s="250" t="str">
        <f t="shared" si="2"/>
        <v>Zand</v>
      </c>
      <c r="AA16" s="255">
        <f t="shared" si="6"/>
        <v>1</v>
      </c>
      <c r="AB16" s="250" t="str">
        <f t="shared" si="7"/>
        <v>Nee</v>
      </c>
      <c r="AC16" s="285">
        <f t="shared" si="8"/>
        <v>-15</v>
      </c>
      <c r="AD16" s="253" t="str">
        <f t="shared" si="11"/>
        <v>Nee</v>
      </c>
      <c r="AE16" s="250">
        <f t="shared" si="10"/>
        <v>0</v>
      </c>
      <c r="AF16" s="250"/>
      <c r="AG16" s="253" t="s">
        <v>218</v>
      </c>
      <c r="AH16" s="250">
        <v>6</v>
      </c>
    </row>
    <row r="17" spans="1:34" x14ac:dyDescent="0.25">
      <c r="A17" s="250"/>
      <c r="B17" s="230">
        <f t="shared" si="9"/>
        <v>-15</v>
      </c>
      <c r="C17" s="283">
        <v>-15</v>
      </c>
      <c r="D17" s="231">
        <f t="shared" si="3"/>
        <v>0</v>
      </c>
      <c r="E17" s="284" t="s">
        <v>201</v>
      </c>
      <c r="F17" s="280">
        <v>17</v>
      </c>
      <c r="G17" s="280">
        <v>17</v>
      </c>
      <c r="H17" s="233">
        <f t="shared" si="0"/>
        <v>130</v>
      </c>
      <c r="I17" s="233">
        <f t="shared" si="4"/>
        <v>202.65</v>
      </c>
      <c r="J17" s="233">
        <f t="shared" si="1"/>
        <v>72.650000000000006</v>
      </c>
      <c r="K17" s="280">
        <v>30</v>
      </c>
      <c r="L17" s="281">
        <v>0</v>
      </c>
      <c r="M17" s="282">
        <v>0</v>
      </c>
      <c r="N17" s="311">
        <f t="shared" si="5"/>
        <v>326</v>
      </c>
      <c r="O17" s="237">
        <f>N17/SUM($D$10:D17)</f>
        <v>24.237918215613384</v>
      </c>
      <c r="Z17" s="250" t="str">
        <f t="shared" si="2"/>
        <v>Zand</v>
      </c>
      <c r="AA17" s="255">
        <f t="shared" si="6"/>
        <v>1</v>
      </c>
      <c r="AB17" s="250" t="str">
        <f t="shared" si="7"/>
        <v>Nee</v>
      </c>
      <c r="AC17" s="285">
        <f t="shared" si="8"/>
        <v>0</v>
      </c>
      <c r="AD17" s="253" t="str">
        <f t="shared" si="11"/>
        <v>Nee</v>
      </c>
      <c r="AE17" s="250">
        <f t="shared" si="10"/>
        <v>0</v>
      </c>
      <c r="AF17" s="250"/>
      <c r="AG17" s="250"/>
      <c r="AH17" s="250"/>
    </row>
    <row r="18" spans="1:34" x14ac:dyDescent="0.25">
      <c r="A18" s="250"/>
      <c r="B18" s="230">
        <f t="shared" si="9"/>
        <v>-15</v>
      </c>
      <c r="C18" s="283">
        <v>-15</v>
      </c>
      <c r="D18" s="231">
        <f t="shared" si="3"/>
        <v>0</v>
      </c>
      <c r="E18" s="284" t="s">
        <v>201</v>
      </c>
      <c r="F18" s="280">
        <v>19</v>
      </c>
      <c r="G18" s="280">
        <v>21</v>
      </c>
      <c r="H18" s="233">
        <f t="shared" si="0"/>
        <v>130</v>
      </c>
      <c r="I18" s="233">
        <f t="shared" si="4"/>
        <v>202.65</v>
      </c>
      <c r="J18" s="233">
        <f t="shared" si="1"/>
        <v>72.650000000000006</v>
      </c>
      <c r="K18" s="280">
        <v>30</v>
      </c>
      <c r="L18" s="281">
        <v>0</v>
      </c>
      <c r="M18" s="282">
        <v>0</v>
      </c>
      <c r="N18" s="311">
        <f t="shared" si="5"/>
        <v>326</v>
      </c>
      <c r="O18" s="237">
        <f>N18/SUM($D$10:D18)</f>
        <v>24.237918215613384</v>
      </c>
      <c r="Z18" s="250" t="str">
        <f t="shared" si="2"/>
        <v>Zand</v>
      </c>
      <c r="AA18" s="255">
        <f t="shared" si="6"/>
        <v>1</v>
      </c>
      <c r="AB18" s="250" t="str">
        <f t="shared" si="7"/>
        <v>Nee</v>
      </c>
      <c r="AC18" s="285">
        <f t="shared" si="8"/>
        <v>0</v>
      </c>
      <c r="AD18" s="253" t="str">
        <f t="shared" si="11"/>
        <v>Nee</v>
      </c>
      <c r="AE18" s="250">
        <f t="shared" si="10"/>
        <v>0</v>
      </c>
      <c r="AF18" s="250"/>
      <c r="AG18" s="250"/>
      <c r="AH18" s="250"/>
    </row>
    <row r="19" spans="1:34" x14ac:dyDescent="0.25">
      <c r="A19" s="250"/>
      <c r="B19" s="230">
        <f>C18</f>
        <v>-15</v>
      </c>
      <c r="C19" s="283">
        <v>-15</v>
      </c>
      <c r="D19" s="231">
        <f t="shared" si="3"/>
        <v>0</v>
      </c>
      <c r="E19" s="284" t="s">
        <v>201</v>
      </c>
      <c r="F19" s="280"/>
      <c r="G19" s="280"/>
      <c r="H19" s="233">
        <f t="shared" si="0"/>
        <v>130</v>
      </c>
      <c r="I19" s="233">
        <f t="shared" si="4"/>
        <v>202.65</v>
      </c>
      <c r="J19" s="233">
        <f t="shared" si="1"/>
        <v>72.650000000000006</v>
      </c>
      <c r="K19" s="280">
        <v>30</v>
      </c>
      <c r="L19" s="281">
        <v>0</v>
      </c>
      <c r="M19" s="282">
        <v>0</v>
      </c>
      <c r="N19" s="311">
        <f t="shared" si="5"/>
        <v>326</v>
      </c>
      <c r="O19" s="237">
        <f>N19/SUM($D$10:D19)</f>
        <v>24.237918215613384</v>
      </c>
      <c r="Z19" s="250" t="str">
        <f t="shared" si="2"/>
        <v>Zand</v>
      </c>
      <c r="AA19" s="255">
        <f t="shared" si="6"/>
        <v>1</v>
      </c>
      <c r="AB19" s="250" t="str">
        <f t="shared" si="7"/>
        <v>Nee</v>
      </c>
      <c r="AC19" s="285">
        <f t="shared" si="8"/>
        <v>0</v>
      </c>
      <c r="AD19" s="253" t="str">
        <f t="shared" si="11"/>
        <v>Nee</v>
      </c>
      <c r="AE19" s="250">
        <f t="shared" si="10"/>
        <v>0</v>
      </c>
      <c r="AF19" s="250"/>
      <c r="AG19" s="250"/>
      <c r="AH19" s="250"/>
    </row>
    <row r="20" spans="1:34" ht="15.75" thickBot="1" x14ac:dyDescent="0.3">
      <c r="A20" s="250"/>
      <c r="B20" s="240">
        <f>C19</f>
        <v>-15</v>
      </c>
      <c r="C20" s="287">
        <v>-15</v>
      </c>
      <c r="D20" s="242">
        <f t="shared" si="3"/>
        <v>0</v>
      </c>
      <c r="E20" s="288" t="s">
        <v>201</v>
      </c>
      <c r="F20" s="289"/>
      <c r="G20" s="289"/>
      <c r="H20" s="244">
        <f t="shared" si="0"/>
        <v>130</v>
      </c>
      <c r="I20" s="244">
        <f t="shared" si="4"/>
        <v>202.65</v>
      </c>
      <c r="J20" s="244">
        <f t="shared" si="1"/>
        <v>72.650000000000006</v>
      </c>
      <c r="K20" s="289">
        <v>30</v>
      </c>
      <c r="L20" s="290">
        <v>0</v>
      </c>
      <c r="M20" s="291">
        <v>0</v>
      </c>
      <c r="N20" s="312">
        <f t="shared" si="5"/>
        <v>326</v>
      </c>
      <c r="O20" s="249">
        <f>N20/SUM($D$10:D20)</f>
        <v>24.237918215613384</v>
      </c>
      <c r="Z20" s="250" t="str">
        <f t="shared" si="2"/>
        <v>Zand</v>
      </c>
      <c r="AA20" s="255">
        <f t="shared" si="6"/>
        <v>1</v>
      </c>
      <c r="AB20" s="250" t="str">
        <f t="shared" si="7"/>
        <v>Nee</v>
      </c>
      <c r="AC20" s="285">
        <f t="shared" si="8"/>
        <v>0</v>
      </c>
      <c r="AD20" s="253" t="str">
        <f t="shared" si="11"/>
        <v>Nee</v>
      </c>
      <c r="AE20" s="250">
        <f t="shared" si="10"/>
        <v>0</v>
      </c>
      <c r="AF20" s="250"/>
      <c r="AG20" s="250"/>
      <c r="AH20" s="250"/>
    </row>
    <row r="21" spans="1:34" x14ac:dyDescent="0.25">
      <c r="A21" s="250"/>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row>
    <row r="22" spans="1:34" x14ac:dyDescent="0.25">
      <c r="A22" s="250"/>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row>
    <row r="23" spans="1:34" ht="15.75" thickBot="1" x14ac:dyDescent="0.3">
      <c r="A23" s="250"/>
      <c r="B23" s="293" t="s">
        <v>204</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row>
    <row r="24" spans="1:34" ht="25.5" x14ac:dyDescent="0.25">
      <c r="A24" s="250"/>
      <c r="B24" s="263" t="s">
        <v>186</v>
      </c>
      <c r="C24" s="264" t="s">
        <v>187</v>
      </c>
      <c r="D24" s="264" t="s">
        <v>188</v>
      </c>
      <c r="E24" s="265" t="s">
        <v>185</v>
      </c>
      <c r="F24" s="266" t="s">
        <v>189</v>
      </c>
      <c r="G24" s="264" t="s">
        <v>190</v>
      </c>
      <c r="H24" s="264" t="s">
        <v>191</v>
      </c>
      <c r="I24" s="264" t="s">
        <v>192</v>
      </c>
      <c r="J24" s="264" t="s">
        <v>193</v>
      </c>
      <c r="K24" s="264" t="s">
        <v>205</v>
      </c>
      <c r="L24" s="267" t="s">
        <v>206</v>
      </c>
      <c r="M24" s="268" t="s">
        <v>207</v>
      </c>
      <c r="N24" s="269" t="s">
        <v>492</v>
      </c>
      <c r="O24" s="269" t="s">
        <v>197</v>
      </c>
      <c r="AA24" s="250"/>
      <c r="AB24" s="250"/>
      <c r="AC24" s="250"/>
      <c r="AD24" s="250"/>
      <c r="AE24" s="250"/>
      <c r="AF24" s="250"/>
      <c r="AG24" s="250"/>
      <c r="AH24" s="250"/>
    </row>
    <row r="25" spans="1:34" ht="15.75" thickBot="1" x14ac:dyDescent="0.3">
      <c r="A25" s="250"/>
      <c r="B25" s="294" t="s">
        <v>198</v>
      </c>
      <c r="C25" s="295" t="s">
        <v>198</v>
      </c>
      <c r="D25" s="295" t="s">
        <v>15</v>
      </c>
      <c r="E25" s="295" t="s">
        <v>116</v>
      </c>
      <c r="F25" s="295" t="s">
        <v>199</v>
      </c>
      <c r="G25" s="295" t="s">
        <v>199</v>
      </c>
      <c r="H25" s="296"/>
      <c r="I25" s="296"/>
      <c r="J25" s="295" t="s">
        <v>200</v>
      </c>
      <c r="K25" s="295" t="s">
        <v>28</v>
      </c>
      <c r="L25" s="297" t="s">
        <v>200</v>
      </c>
      <c r="M25" s="298" t="s">
        <v>200</v>
      </c>
      <c r="N25" s="299"/>
      <c r="O25" s="300" t="s">
        <v>28</v>
      </c>
      <c r="AA25" s="250"/>
      <c r="AB25" s="250"/>
      <c r="AC25" s="250"/>
      <c r="AD25" s="250"/>
      <c r="AE25" s="250"/>
      <c r="AF25" s="250"/>
      <c r="AG25" s="250"/>
      <c r="AH25" s="250"/>
    </row>
    <row r="26" spans="1:34" ht="15.75" thickBot="1" x14ac:dyDescent="0.3">
      <c r="A26" s="250"/>
      <c r="B26" s="301"/>
      <c r="C26" s="302"/>
      <c r="D26" s="302"/>
      <c r="E26" s="302"/>
      <c r="F26" s="227">
        <v>1.1000000000000001</v>
      </c>
      <c r="G26" s="227">
        <v>1.1000000000000001</v>
      </c>
      <c r="H26" s="303"/>
      <c r="I26" s="303"/>
      <c r="J26" s="302"/>
      <c r="K26" s="227">
        <v>1.1499999999999999</v>
      </c>
      <c r="L26" s="228">
        <v>1.6</v>
      </c>
      <c r="M26" s="229">
        <v>1.35</v>
      </c>
      <c r="N26" s="304"/>
      <c r="O26" s="305"/>
      <c r="AA26" s="250"/>
      <c r="AB26" s="250"/>
      <c r="AC26" s="250"/>
      <c r="AD26" s="250"/>
      <c r="AE26" s="250">
        <f>IF(AND(AB11="Ja';X7=""Ja"),1,0)</f>
        <v>0</v>
      </c>
      <c r="AF26" s="250"/>
      <c r="AG26" s="250"/>
      <c r="AH26" s="250"/>
    </row>
    <row r="27" spans="1:34" x14ac:dyDescent="0.25">
      <c r="A27" s="250"/>
      <c r="B27" s="230">
        <f>B10</f>
        <v>-1.55</v>
      </c>
      <c r="C27" s="231">
        <f>C10</f>
        <v>-1.55</v>
      </c>
      <c r="D27" s="231">
        <f>D10</f>
        <v>0</v>
      </c>
      <c r="E27" s="232" t="str">
        <f>E10</f>
        <v>Zand</v>
      </c>
      <c r="F27" s="233">
        <f t="shared" ref="F27:F37" si="12">F10/$F$26</f>
        <v>15.454545454545453</v>
      </c>
      <c r="G27" s="233">
        <f t="shared" ref="G27:G37" si="13">G10/$G$26</f>
        <v>17.27272727272727</v>
      </c>
      <c r="H27" s="233">
        <f t="shared" ref="H27:H37" si="14">IF($C$3-C27&lt;0,0,($C$3-C27)*10)</f>
        <v>0</v>
      </c>
      <c r="I27" s="233">
        <f>IF(C27&gt;=$C$3,F27,G27)*D27</f>
        <v>0</v>
      </c>
      <c r="J27" s="233">
        <f t="shared" ref="J27:J37" si="15">I27-H27</f>
        <v>0</v>
      </c>
      <c r="K27" s="233">
        <f t="shared" ref="K27:K37" si="16">ATAN(TAN(K10*(PI()/180))/$K$26)/(PI()/180)</f>
        <v>26.658651450173039</v>
      </c>
      <c r="L27" s="234">
        <f t="shared" ref="L27:L37" si="17">L10/$L$26</f>
        <v>0</v>
      </c>
      <c r="M27" s="235">
        <f t="shared" ref="M27:M37" si="18">M10/$M$26</f>
        <v>0</v>
      </c>
      <c r="N27" s="236">
        <f>K27*D27</f>
        <v>0</v>
      </c>
      <c r="O27" s="237" t="e">
        <f>N27/D27</f>
        <v>#DIV/0!</v>
      </c>
      <c r="AA27" s="250"/>
      <c r="AB27" s="250"/>
      <c r="AC27" s="250"/>
      <c r="AD27" s="250"/>
      <c r="AE27" s="250"/>
      <c r="AF27" s="250"/>
      <c r="AG27" s="250"/>
      <c r="AH27" s="250"/>
    </row>
    <row r="28" spans="1:34" x14ac:dyDescent="0.25">
      <c r="A28" s="250"/>
      <c r="B28" s="230">
        <f t="shared" ref="B28:E37" si="19">B11</f>
        <v>-1.55</v>
      </c>
      <c r="C28" s="231">
        <f t="shared" si="19"/>
        <v>-2</v>
      </c>
      <c r="D28" s="231">
        <f t="shared" si="19"/>
        <v>0.44999999999999996</v>
      </c>
      <c r="E28" s="232" t="str">
        <f t="shared" si="19"/>
        <v>Zand</v>
      </c>
      <c r="F28" s="233">
        <f t="shared" si="12"/>
        <v>15.454545454545453</v>
      </c>
      <c r="G28" s="233">
        <f t="shared" si="13"/>
        <v>17.27272727272727</v>
      </c>
      <c r="H28" s="238">
        <f t="shared" si="14"/>
        <v>0</v>
      </c>
      <c r="I28" s="233">
        <f t="shared" ref="I28:I37" si="20">IF(C28&gt;=$C$3,F28,G28)*D28+I27</f>
        <v>6.9545454545454533</v>
      </c>
      <c r="J28" s="233">
        <f t="shared" si="15"/>
        <v>6.9545454545454533</v>
      </c>
      <c r="K28" s="233">
        <f t="shared" si="16"/>
        <v>26.658651450173039</v>
      </c>
      <c r="L28" s="234">
        <f t="shared" si="17"/>
        <v>0</v>
      </c>
      <c r="M28" s="235">
        <f t="shared" si="18"/>
        <v>0</v>
      </c>
      <c r="N28" s="236">
        <f t="shared" ref="N28:N37" si="21">K28*D28+N27</f>
        <v>11.996393152577866</v>
      </c>
      <c r="O28" s="237">
        <f>N28/SUM($D$27:D28)</f>
        <v>26.658651450173039</v>
      </c>
      <c r="AA28" s="250"/>
      <c r="AB28" s="250"/>
      <c r="AC28" s="250"/>
      <c r="AD28" s="250"/>
      <c r="AE28" s="250"/>
      <c r="AF28" s="250"/>
      <c r="AG28" s="250"/>
      <c r="AH28" s="250"/>
    </row>
    <row r="29" spans="1:34" x14ac:dyDescent="0.25">
      <c r="A29" s="250"/>
      <c r="B29" s="230">
        <f t="shared" si="19"/>
        <v>-2</v>
      </c>
      <c r="C29" s="231">
        <f t="shared" si="19"/>
        <v>-3.5</v>
      </c>
      <c r="D29" s="231">
        <f t="shared" si="19"/>
        <v>1.5</v>
      </c>
      <c r="E29" s="232" t="str">
        <f t="shared" si="19"/>
        <v>Zand</v>
      </c>
      <c r="F29" s="233">
        <f t="shared" si="12"/>
        <v>15.454545454545453</v>
      </c>
      <c r="G29" s="233">
        <f t="shared" si="13"/>
        <v>17.27272727272727</v>
      </c>
      <c r="H29" s="238">
        <f t="shared" si="14"/>
        <v>15</v>
      </c>
      <c r="I29" s="233">
        <f t="shared" si="20"/>
        <v>32.86363636363636</v>
      </c>
      <c r="J29" s="233">
        <f t="shared" si="15"/>
        <v>17.86363636363636</v>
      </c>
      <c r="K29" s="233">
        <f t="shared" si="16"/>
        <v>26.658651450173039</v>
      </c>
      <c r="L29" s="234">
        <f t="shared" si="17"/>
        <v>0</v>
      </c>
      <c r="M29" s="235">
        <f t="shared" si="18"/>
        <v>0</v>
      </c>
      <c r="N29" s="236">
        <f t="shared" si="21"/>
        <v>51.984370327837425</v>
      </c>
      <c r="O29" s="237">
        <f>N29/SUM($D$27:D29)</f>
        <v>26.658651450173039</v>
      </c>
      <c r="AA29" s="250"/>
      <c r="AB29" s="250"/>
      <c r="AC29" s="250"/>
      <c r="AD29" s="250"/>
      <c r="AE29" s="250"/>
      <c r="AF29" s="250"/>
      <c r="AG29" s="250"/>
      <c r="AH29" s="250"/>
    </row>
    <row r="30" spans="1:34" x14ac:dyDescent="0.25">
      <c r="A30" s="250"/>
      <c r="B30" s="230">
        <f t="shared" si="19"/>
        <v>-3.5</v>
      </c>
      <c r="C30" s="231">
        <f t="shared" si="19"/>
        <v>-6.5</v>
      </c>
      <c r="D30" s="231">
        <f t="shared" si="19"/>
        <v>3</v>
      </c>
      <c r="E30" s="232" t="str">
        <f t="shared" si="19"/>
        <v>Veen</v>
      </c>
      <c r="F30" s="233">
        <f t="shared" si="12"/>
        <v>10</v>
      </c>
      <c r="G30" s="233">
        <f t="shared" si="13"/>
        <v>10</v>
      </c>
      <c r="H30" s="238">
        <f t="shared" si="14"/>
        <v>45</v>
      </c>
      <c r="I30" s="233">
        <f t="shared" si="20"/>
        <v>62.86363636363636</v>
      </c>
      <c r="J30" s="233">
        <f t="shared" si="15"/>
        <v>17.86363636363636</v>
      </c>
      <c r="K30" s="233">
        <f t="shared" si="16"/>
        <v>13.115870337879684</v>
      </c>
      <c r="L30" s="234">
        <f t="shared" si="17"/>
        <v>1.5625</v>
      </c>
      <c r="M30" s="235">
        <f t="shared" si="18"/>
        <v>11.111111111111111</v>
      </c>
      <c r="N30" s="236">
        <f t="shared" si="21"/>
        <v>91.331981341476478</v>
      </c>
      <c r="O30" s="237">
        <f>N30/SUM($D$27:D30)</f>
        <v>18.450905321510398</v>
      </c>
      <c r="AA30" s="250"/>
      <c r="AB30" s="250"/>
      <c r="AC30" s="250"/>
      <c r="AD30" s="250"/>
      <c r="AE30" s="250"/>
      <c r="AF30" s="250"/>
      <c r="AG30" s="250"/>
      <c r="AH30" s="250"/>
    </row>
    <row r="31" spans="1:34" x14ac:dyDescent="0.25">
      <c r="A31" s="250"/>
      <c r="B31" s="230">
        <f t="shared" si="19"/>
        <v>-6.5</v>
      </c>
      <c r="C31" s="231">
        <f t="shared" si="19"/>
        <v>-9</v>
      </c>
      <c r="D31" s="231">
        <f t="shared" si="19"/>
        <v>2.5</v>
      </c>
      <c r="E31" s="232" t="str">
        <f t="shared" si="19"/>
        <v>Klei</v>
      </c>
      <c r="F31" s="233">
        <f t="shared" si="12"/>
        <v>10.909090909090908</v>
      </c>
      <c r="G31" s="233">
        <f t="shared" si="13"/>
        <v>10.909090909090908</v>
      </c>
      <c r="H31" s="238">
        <f t="shared" si="14"/>
        <v>70</v>
      </c>
      <c r="I31" s="233">
        <f t="shared" si="20"/>
        <v>90.136363636363626</v>
      </c>
      <c r="J31" s="233">
        <f t="shared" si="15"/>
        <v>20.136363636363626</v>
      </c>
      <c r="K31" s="233">
        <f t="shared" si="16"/>
        <v>17.562363553657889</v>
      </c>
      <c r="L31" s="234">
        <f t="shared" si="17"/>
        <v>1.5625</v>
      </c>
      <c r="M31" s="235">
        <f t="shared" si="18"/>
        <v>22.222222222222221</v>
      </c>
      <c r="N31" s="236">
        <f t="shared" si="21"/>
        <v>135.23789022562119</v>
      </c>
      <c r="O31" s="237">
        <f>N31/SUM($D$27:D31)</f>
        <v>18.152736943036402</v>
      </c>
      <c r="AA31" s="250"/>
      <c r="AB31" s="250"/>
      <c r="AC31" s="250"/>
      <c r="AD31" s="250"/>
      <c r="AE31" s="250"/>
      <c r="AF31" s="250"/>
      <c r="AG31" s="250"/>
      <c r="AH31" s="250"/>
    </row>
    <row r="32" spans="1:34" x14ac:dyDescent="0.25">
      <c r="A32" s="250"/>
      <c r="B32" s="230">
        <f t="shared" si="19"/>
        <v>-9</v>
      </c>
      <c r="C32" s="239">
        <f t="shared" si="19"/>
        <v>-9.5</v>
      </c>
      <c r="D32" s="231">
        <f t="shared" si="19"/>
        <v>0.5</v>
      </c>
      <c r="E32" s="232" t="str">
        <f t="shared" si="19"/>
        <v>Veen</v>
      </c>
      <c r="F32" s="233">
        <f t="shared" si="12"/>
        <v>16.363636363636363</v>
      </c>
      <c r="G32" s="233">
        <f t="shared" si="13"/>
        <v>18.18181818181818</v>
      </c>
      <c r="H32" s="238">
        <f t="shared" si="14"/>
        <v>75</v>
      </c>
      <c r="I32" s="233">
        <f t="shared" si="20"/>
        <v>99.22727272727272</v>
      </c>
      <c r="J32" s="233">
        <f t="shared" si="15"/>
        <v>24.22727272727272</v>
      </c>
      <c r="K32" s="233">
        <f t="shared" si="16"/>
        <v>13.115870337879684</v>
      </c>
      <c r="L32" s="234">
        <f t="shared" si="17"/>
        <v>3.125</v>
      </c>
      <c r="M32" s="235">
        <f t="shared" si="18"/>
        <v>18.518518518518519</v>
      </c>
      <c r="N32" s="236">
        <f t="shared" si="21"/>
        <v>141.79582539456104</v>
      </c>
      <c r="O32" s="237">
        <f>N32/SUM($D$27:D32)</f>
        <v>17.835952879818997</v>
      </c>
      <c r="AA32" s="250"/>
      <c r="AB32" s="250"/>
      <c r="AC32" s="250"/>
      <c r="AD32" s="250"/>
      <c r="AE32" s="250"/>
      <c r="AF32" s="250"/>
      <c r="AG32" s="250"/>
      <c r="AH32" s="250"/>
    </row>
    <row r="33" spans="1:34" x14ac:dyDescent="0.25">
      <c r="A33" s="250"/>
      <c r="B33" s="230">
        <f t="shared" si="19"/>
        <v>-9.5</v>
      </c>
      <c r="C33" s="239">
        <f t="shared" si="19"/>
        <v>-15</v>
      </c>
      <c r="D33" s="231">
        <f t="shared" si="19"/>
        <v>5.5</v>
      </c>
      <c r="E33" s="232" t="str">
        <f t="shared" si="19"/>
        <v>Zand</v>
      </c>
      <c r="F33" s="233">
        <f t="shared" si="12"/>
        <v>15.454545454545453</v>
      </c>
      <c r="G33" s="233">
        <f t="shared" si="13"/>
        <v>15.454545454545453</v>
      </c>
      <c r="H33" s="238">
        <f t="shared" si="14"/>
        <v>130</v>
      </c>
      <c r="I33" s="233">
        <f t="shared" si="20"/>
        <v>184.22727272727272</v>
      </c>
      <c r="J33" s="233">
        <f t="shared" si="15"/>
        <v>54.22727272727272</v>
      </c>
      <c r="K33" s="233">
        <f t="shared" si="16"/>
        <v>26.658651450173039</v>
      </c>
      <c r="L33" s="234">
        <f t="shared" si="17"/>
        <v>0</v>
      </c>
      <c r="M33" s="235">
        <f t="shared" si="18"/>
        <v>0</v>
      </c>
      <c r="N33" s="236">
        <f t="shared" si="21"/>
        <v>288.41840837051279</v>
      </c>
      <c r="O33" s="237">
        <f>N33/SUM($D$27:D33)</f>
        <v>21.44374783423887</v>
      </c>
      <c r="AA33" s="250"/>
      <c r="AB33" s="250"/>
      <c r="AC33" s="250"/>
      <c r="AD33" s="250"/>
      <c r="AE33" s="250"/>
      <c r="AF33" s="250"/>
      <c r="AG33" s="250"/>
      <c r="AH33" s="250"/>
    </row>
    <row r="34" spans="1:34" x14ac:dyDescent="0.25">
      <c r="A34" s="250"/>
      <c r="B34" s="230">
        <f t="shared" si="19"/>
        <v>-15</v>
      </c>
      <c r="C34" s="239">
        <f t="shared" si="19"/>
        <v>-15</v>
      </c>
      <c r="D34" s="231">
        <f t="shared" si="19"/>
        <v>0</v>
      </c>
      <c r="E34" s="232" t="str">
        <f t="shared" si="19"/>
        <v>Zand</v>
      </c>
      <c r="F34" s="233">
        <f t="shared" si="12"/>
        <v>15.454545454545453</v>
      </c>
      <c r="G34" s="233">
        <f t="shared" si="13"/>
        <v>15.454545454545453</v>
      </c>
      <c r="H34" s="238">
        <f t="shared" si="14"/>
        <v>130</v>
      </c>
      <c r="I34" s="233">
        <f t="shared" si="20"/>
        <v>184.22727272727272</v>
      </c>
      <c r="J34" s="233">
        <f t="shared" si="15"/>
        <v>54.22727272727272</v>
      </c>
      <c r="K34" s="233">
        <f t="shared" si="16"/>
        <v>26.658651450173039</v>
      </c>
      <c r="L34" s="234">
        <f t="shared" si="17"/>
        <v>0</v>
      </c>
      <c r="M34" s="235">
        <f t="shared" si="18"/>
        <v>0</v>
      </c>
      <c r="N34" s="236">
        <f t="shared" si="21"/>
        <v>288.41840837051279</v>
      </c>
      <c r="O34" s="237">
        <f>N34/SUM($D$27:D34)</f>
        <v>21.44374783423887</v>
      </c>
      <c r="AA34" s="250"/>
      <c r="AB34" s="250"/>
      <c r="AC34" s="250"/>
      <c r="AD34" s="250"/>
      <c r="AE34" s="250"/>
      <c r="AF34" s="250"/>
      <c r="AG34" s="250"/>
      <c r="AH34" s="250"/>
    </row>
    <row r="35" spans="1:34" x14ac:dyDescent="0.25">
      <c r="A35" s="250"/>
      <c r="B35" s="230">
        <f t="shared" si="19"/>
        <v>-15</v>
      </c>
      <c r="C35" s="239">
        <f t="shared" si="19"/>
        <v>-15</v>
      </c>
      <c r="D35" s="231">
        <f t="shared" si="19"/>
        <v>0</v>
      </c>
      <c r="E35" s="232" t="str">
        <f t="shared" si="19"/>
        <v>Zand</v>
      </c>
      <c r="F35" s="233">
        <f t="shared" si="12"/>
        <v>17.27272727272727</v>
      </c>
      <c r="G35" s="233">
        <f t="shared" si="13"/>
        <v>19.09090909090909</v>
      </c>
      <c r="H35" s="238">
        <f t="shared" si="14"/>
        <v>130</v>
      </c>
      <c r="I35" s="233">
        <f t="shared" si="20"/>
        <v>184.22727272727272</v>
      </c>
      <c r="J35" s="233">
        <f t="shared" si="15"/>
        <v>54.22727272727272</v>
      </c>
      <c r="K35" s="233">
        <f t="shared" si="16"/>
        <v>26.658651450173039</v>
      </c>
      <c r="L35" s="234">
        <f t="shared" si="17"/>
        <v>0</v>
      </c>
      <c r="M35" s="235">
        <f t="shared" si="18"/>
        <v>0</v>
      </c>
      <c r="N35" s="236">
        <f t="shared" si="21"/>
        <v>288.41840837051279</v>
      </c>
      <c r="O35" s="237">
        <f>N35/SUM($D$27:D35)</f>
        <v>21.44374783423887</v>
      </c>
      <c r="AA35" s="250"/>
      <c r="AB35" s="250"/>
      <c r="AC35" s="250"/>
      <c r="AD35" s="250"/>
      <c r="AE35" s="250"/>
      <c r="AF35" s="250"/>
      <c r="AG35" s="250"/>
      <c r="AH35" s="250"/>
    </row>
    <row r="36" spans="1:34" x14ac:dyDescent="0.25">
      <c r="A36" s="250"/>
      <c r="B36" s="230">
        <f t="shared" si="19"/>
        <v>-15</v>
      </c>
      <c r="C36" s="239">
        <f t="shared" si="19"/>
        <v>-15</v>
      </c>
      <c r="D36" s="231">
        <f t="shared" si="19"/>
        <v>0</v>
      </c>
      <c r="E36" s="232" t="str">
        <f t="shared" si="19"/>
        <v>Zand</v>
      </c>
      <c r="F36" s="233">
        <f t="shared" si="12"/>
        <v>0</v>
      </c>
      <c r="G36" s="233">
        <f t="shared" si="13"/>
        <v>0</v>
      </c>
      <c r="H36" s="238">
        <f t="shared" si="14"/>
        <v>130</v>
      </c>
      <c r="I36" s="233">
        <f t="shared" si="20"/>
        <v>184.22727272727272</v>
      </c>
      <c r="J36" s="233">
        <f t="shared" si="15"/>
        <v>54.22727272727272</v>
      </c>
      <c r="K36" s="233">
        <f t="shared" si="16"/>
        <v>26.658651450173039</v>
      </c>
      <c r="L36" s="234">
        <f t="shared" si="17"/>
        <v>0</v>
      </c>
      <c r="M36" s="235">
        <f t="shared" si="18"/>
        <v>0</v>
      </c>
      <c r="N36" s="236">
        <f t="shared" si="21"/>
        <v>288.41840837051279</v>
      </c>
      <c r="O36" s="237">
        <f>N36/SUM($D$27:D36)</f>
        <v>21.44374783423887</v>
      </c>
      <c r="AA36" s="250"/>
      <c r="AB36" s="250"/>
      <c r="AC36" s="250"/>
      <c r="AD36" s="250"/>
      <c r="AE36" s="250"/>
      <c r="AF36" s="250"/>
      <c r="AG36" s="250"/>
      <c r="AH36" s="250"/>
    </row>
    <row r="37" spans="1:34" ht="15.75" thickBot="1" x14ac:dyDescent="0.3">
      <c r="A37" s="250"/>
      <c r="B37" s="240">
        <f t="shared" si="19"/>
        <v>-15</v>
      </c>
      <c r="C37" s="241">
        <f t="shared" si="19"/>
        <v>-15</v>
      </c>
      <c r="D37" s="242">
        <f t="shared" si="19"/>
        <v>0</v>
      </c>
      <c r="E37" s="243" t="str">
        <f t="shared" si="19"/>
        <v>Zand</v>
      </c>
      <c r="F37" s="244">
        <f t="shared" si="12"/>
        <v>0</v>
      </c>
      <c r="G37" s="244">
        <f t="shared" si="13"/>
        <v>0</v>
      </c>
      <c r="H37" s="245">
        <f t="shared" si="14"/>
        <v>130</v>
      </c>
      <c r="I37" s="244">
        <f t="shared" si="20"/>
        <v>184.22727272727272</v>
      </c>
      <c r="J37" s="244">
        <f t="shared" si="15"/>
        <v>54.22727272727272</v>
      </c>
      <c r="K37" s="244">
        <f t="shared" si="16"/>
        <v>26.658651450173039</v>
      </c>
      <c r="L37" s="246">
        <f t="shared" si="17"/>
        <v>0</v>
      </c>
      <c r="M37" s="247">
        <f t="shared" si="18"/>
        <v>0</v>
      </c>
      <c r="N37" s="248">
        <f t="shared" si="21"/>
        <v>288.41840837051279</v>
      </c>
      <c r="O37" s="249">
        <f>N37/SUM($D$27:D37)</f>
        <v>21.44374783423887</v>
      </c>
      <c r="AA37" s="250"/>
      <c r="AB37" s="250"/>
      <c r="AC37" s="250"/>
      <c r="AD37" s="250"/>
      <c r="AE37" s="250"/>
      <c r="AF37" s="250"/>
      <c r="AG37" s="250"/>
      <c r="AH37" s="250"/>
    </row>
    <row r="38" spans="1:34" x14ac:dyDescent="0.25">
      <c r="A38" s="250"/>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row>
    <row r="39" spans="1:34" x14ac:dyDescent="0.25">
      <c r="A39" s="250"/>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row>
    <row r="40" spans="1:34" x14ac:dyDescent="0.25">
      <c r="A40" s="250"/>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row>
    <row r="41" spans="1:34" x14ac:dyDescent="0.25">
      <c r="A41" s="250"/>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row>
    <row r="42" spans="1:34" x14ac:dyDescent="0.25">
      <c r="A42" s="250"/>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1:34" x14ac:dyDescent="0.25">
      <c r="A43" s="250"/>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1:34" x14ac:dyDescent="0.25">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row>
    <row r="45" spans="1:34" x14ac:dyDescent="0.25">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row>
    <row r="46" spans="1:34" x14ac:dyDescent="0.25">
      <c r="A46" s="250"/>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row>
    <row r="47" spans="1:34" x14ac:dyDescent="0.25">
      <c r="A47" s="250"/>
      <c r="B47" s="314" t="s">
        <v>219</v>
      </c>
      <c r="C47" s="315"/>
      <c r="D47" s="315"/>
      <c r="E47" s="315"/>
      <c r="F47" s="315"/>
      <c r="G47" s="315"/>
      <c r="H47" s="315"/>
      <c r="I47" s="315"/>
      <c r="J47" s="315"/>
      <c r="K47" s="315"/>
      <c r="L47" s="315"/>
      <c r="M47" s="315"/>
      <c r="N47" s="250"/>
      <c r="O47" s="250"/>
      <c r="P47" s="250"/>
      <c r="Q47" s="250"/>
      <c r="R47" s="250"/>
      <c r="S47" s="250"/>
      <c r="T47" s="250"/>
      <c r="U47" s="250"/>
      <c r="V47" s="250"/>
      <c r="W47" s="250"/>
      <c r="X47" s="250"/>
      <c r="Y47" s="250"/>
      <c r="Z47" s="250"/>
      <c r="AA47" s="250"/>
      <c r="AB47" s="250"/>
      <c r="AC47" s="250"/>
      <c r="AD47" s="250"/>
      <c r="AE47" s="250"/>
      <c r="AF47" s="250"/>
      <c r="AG47" s="250"/>
      <c r="AH47" s="250"/>
    </row>
    <row r="48" spans="1:34" x14ac:dyDescent="0.25">
      <c r="A48" s="250"/>
      <c r="B48" s="316" t="s">
        <v>220</v>
      </c>
      <c r="C48" s="315"/>
      <c r="D48" s="317">
        <f>'Invoer 5 - Draagvermogen'!H8</f>
        <v>-7.0171148509357311</v>
      </c>
      <c r="E48" s="316" t="s">
        <v>198</v>
      </c>
      <c r="F48" s="315"/>
      <c r="G48" s="315"/>
      <c r="H48" s="315"/>
      <c r="I48" s="315"/>
      <c r="J48" s="315"/>
      <c r="K48" s="315"/>
      <c r="L48" s="315"/>
      <c r="M48" s="315"/>
      <c r="N48" s="250"/>
      <c r="O48" s="250"/>
      <c r="P48" s="250"/>
      <c r="Q48" s="250"/>
      <c r="R48" s="250"/>
      <c r="S48" s="250"/>
      <c r="T48" s="250"/>
      <c r="U48" s="250"/>
      <c r="V48" s="250"/>
      <c r="W48" s="250"/>
      <c r="X48" s="250"/>
      <c r="Y48" s="250"/>
      <c r="Z48" s="250"/>
      <c r="AA48" s="250"/>
      <c r="AB48" s="250"/>
      <c r="AC48" s="250"/>
      <c r="AD48" s="250"/>
      <c r="AE48" s="250"/>
      <c r="AF48" s="250"/>
      <c r="AG48" s="250"/>
      <c r="AH48" s="250"/>
    </row>
    <row r="49" spans="1:34" ht="15.75" thickBot="1" x14ac:dyDescent="0.3">
      <c r="A49" s="250"/>
      <c r="B49" s="315"/>
      <c r="C49" s="315"/>
      <c r="D49" s="318" t="s">
        <v>221</v>
      </c>
      <c r="E49" s="318" t="s">
        <v>222</v>
      </c>
      <c r="F49" s="315"/>
      <c r="G49" s="315"/>
      <c r="H49" s="315"/>
      <c r="I49" s="315"/>
      <c r="J49" s="315"/>
      <c r="K49" s="315"/>
      <c r="L49" s="315"/>
      <c r="M49" s="315"/>
      <c r="N49" s="250"/>
      <c r="O49" s="250"/>
      <c r="P49" s="250"/>
      <c r="Q49" s="250"/>
      <c r="R49" s="250"/>
      <c r="S49" s="250"/>
      <c r="T49" s="250"/>
      <c r="U49" s="250"/>
      <c r="V49" s="250"/>
      <c r="W49" s="250"/>
      <c r="X49" s="250"/>
      <c r="Y49" s="250"/>
      <c r="Z49" s="250"/>
      <c r="AA49" s="250"/>
      <c r="AB49" s="250"/>
      <c r="AC49" s="250"/>
      <c r="AD49" s="250"/>
      <c r="AE49" s="250"/>
      <c r="AF49" s="250"/>
      <c r="AG49" s="250"/>
      <c r="AH49" s="250"/>
    </row>
    <row r="50" spans="1:34" x14ac:dyDescent="0.25">
      <c r="A50" s="250"/>
      <c r="B50" s="317">
        <f>B10</f>
        <v>-1.55</v>
      </c>
      <c r="C50" s="317">
        <f t="shared" ref="C50:C60" si="22">IF(C10&gt;$D$48,C10,$D$48)</f>
        <v>-1.55</v>
      </c>
      <c r="D50" s="317">
        <f t="shared" ref="D50:D60" si="23">IF(B50-C50&gt;0,B50-C50,0)</f>
        <v>0</v>
      </c>
      <c r="E50" s="317">
        <f>AVERAGE(B50:C50)-$D$48</f>
        <v>5.4671148509357312</v>
      </c>
      <c r="F50" s="319">
        <f t="shared" ref="F50:F60" si="24">D50*K10*E50</f>
        <v>0</v>
      </c>
      <c r="G50" s="320">
        <f>D50*E50</f>
        <v>0</v>
      </c>
      <c r="H50" s="315"/>
      <c r="I50" s="319">
        <f t="shared" ref="I50:I60" si="25">D50*E50*L10</f>
        <v>0</v>
      </c>
      <c r="J50" s="321">
        <f t="shared" ref="J50:J60" si="26">G50</f>
        <v>0</v>
      </c>
      <c r="K50" s="315"/>
      <c r="L50" s="315"/>
      <c r="M50" s="315"/>
      <c r="N50" s="250"/>
      <c r="O50" s="250"/>
      <c r="P50" s="250"/>
      <c r="Q50" s="250"/>
      <c r="R50" s="250"/>
      <c r="S50" s="250"/>
      <c r="T50" s="250"/>
      <c r="U50" s="250"/>
      <c r="V50" s="250"/>
      <c r="W50" s="250"/>
      <c r="X50" s="250"/>
      <c r="Y50" s="250"/>
      <c r="Z50" s="250"/>
      <c r="AA50" s="250"/>
      <c r="AB50" s="250"/>
      <c r="AC50" s="250"/>
      <c r="AD50" s="250"/>
      <c r="AE50" s="250"/>
      <c r="AF50" s="250"/>
      <c r="AG50" s="250"/>
      <c r="AH50" s="250"/>
    </row>
    <row r="51" spans="1:34" x14ac:dyDescent="0.25">
      <c r="A51" s="250"/>
      <c r="B51" s="317">
        <f>C50</f>
        <v>-1.55</v>
      </c>
      <c r="C51" s="317">
        <f t="shared" si="22"/>
        <v>-2</v>
      </c>
      <c r="D51" s="317">
        <f t="shared" si="23"/>
        <v>0.44999999999999996</v>
      </c>
      <c r="E51" s="317">
        <f t="shared" ref="E51:E60" si="27">AVERAGE(B51:C51)-$D$48</f>
        <v>5.2421148509357316</v>
      </c>
      <c r="F51" s="322">
        <f t="shared" si="24"/>
        <v>70.768550487632368</v>
      </c>
      <c r="G51" s="323">
        <f t="shared" ref="G51:G60" si="28">D51*E51</f>
        <v>2.358951682921079</v>
      </c>
      <c r="H51" s="315"/>
      <c r="I51" s="322">
        <f t="shared" si="25"/>
        <v>0</v>
      </c>
      <c r="J51" s="323">
        <f t="shared" si="26"/>
        <v>2.358951682921079</v>
      </c>
      <c r="K51" s="315"/>
      <c r="L51" s="315"/>
      <c r="M51" s="315"/>
      <c r="N51" s="250"/>
      <c r="O51" s="250"/>
      <c r="P51" s="250"/>
      <c r="Q51" s="250"/>
      <c r="R51" s="250"/>
      <c r="S51" s="250"/>
      <c r="T51" s="250"/>
      <c r="U51" s="250"/>
      <c r="V51" s="250"/>
      <c r="W51" s="250"/>
      <c r="X51" s="250"/>
      <c r="Y51" s="250"/>
      <c r="Z51" s="250"/>
      <c r="AA51" s="250"/>
      <c r="AB51" s="250"/>
      <c r="AC51" s="250"/>
      <c r="AD51" s="250"/>
      <c r="AE51" s="250"/>
      <c r="AF51" s="250"/>
      <c r="AG51" s="250"/>
      <c r="AH51" s="250"/>
    </row>
    <row r="52" spans="1:34" x14ac:dyDescent="0.25">
      <c r="A52" s="250"/>
      <c r="B52" s="317">
        <f>C51</f>
        <v>-2</v>
      </c>
      <c r="C52" s="317">
        <f t="shared" si="22"/>
        <v>-3.5</v>
      </c>
      <c r="D52" s="317">
        <f t="shared" si="23"/>
        <v>1.5</v>
      </c>
      <c r="E52" s="317">
        <f t="shared" si="27"/>
        <v>4.2671148509357311</v>
      </c>
      <c r="F52" s="322">
        <f t="shared" si="24"/>
        <v>192.02016829210791</v>
      </c>
      <c r="G52" s="323">
        <f t="shared" si="28"/>
        <v>6.400672276403597</v>
      </c>
      <c r="H52" s="315"/>
      <c r="I52" s="322">
        <f t="shared" si="25"/>
        <v>0</v>
      </c>
      <c r="J52" s="323">
        <f t="shared" si="26"/>
        <v>6.400672276403597</v>
      </c>
      <c r="K52" s="315"/>
      <c r="L52" s="315"/>
      <c r="M52" s="315"/>
      <c r="N52" s="250"/>
      <c r="O52" s="250"/>
      <c r="P52" s="250"/>
      <c r="Q52" s="250"/>
      <c r="R52" s="250"/>
      <c r="S52" s="250"/>
      <c r="T52" s="250"/>
      <c r="U52" s="250"/>
      <c r="V52" s="250"/>
      <c r="W52" s="250"/>
      <c r="X52" s="250"/>
      <c r="Y52" s="250"/>
      <c r="Z52" s="250"/>
      <c r="AA52" s="250"/>
      <c r="AB52" s="250"/>
      <c r="AC52" s="250"/>
      <c r="AD52" s="250"/>
      <c r="AE52" s="250"/>
      <c r="AF52" s="250"/>
      <c r="AG52" s="250"/>
      <c r="AH52" s="250"/>
    </row>
    <row r="53" spans="1:34" x14ac:dyDescent="0.25">
      <c r="A53" s="250"/>
      <c r="B53" s="317">
        <f>C52</f>
        <v>-3.5</v>
      </c>
      <c r="C53" s="317">
        <f t="shared" si="22"/>
        <v>-6.5</v>
      </c>
      <c r="D53" s="317">
        <f t="shared" si="23"/>
        <v>3</v>
      </c>
      <c r="E53" s="317">
        <f t="shared" si="27"/>
        <v>2.0171148509357311</v>
      </c>
      <c r="F53" s="322">
        <f t="shared" si="24"/>
        <v>90.770168292107897</v>
      </c>
      <c r="G53" s="323">
        <f t="shared" si="28"/>
        <v>6.0513445528071932</v>
      </c>
      <c r="H53" s="315"/>
      <c r="I53" s="322">
        <f t="shared" si="25"/>
        <v>15.128361382017983</v>
      </c>
      <c r="J53" s="323">
        <f t="shared" si="26"/>
        <v>6.0513445528071932</v>
      </c>
      <c r="K53" s="315"/>
      <c r="L53" s="315"/>
      <c r="M53" s="315"/>
      <c r="N53" s="250"/>
      <c r="O53" s="250"/>
      <c r="P53" s="250"/>
      <c r="Q53" s="250"/>
      <c r="R53" s="250"/>
      <c r="S53" s="250"/>
      <c r="T53" s="250"/>
      <c r="U53" s="250"/>
      <c r="V53" s="250"/>
      <c r="W53" s="250"/>
      <c r="X53" s="250"/>
      <c r="Y53" s="250"/>
      <c r="Z53" s="250"/>
      <c r="AA53" s="250"/>
      <c r="AB53" s="250"/>
      <c r="AC53" s="250"/>
      <c r="AD53" s="250"/>
      <c r="AE53" s="250"/>
      <c r="AF53" s="250"/>
      <c r="AG53" s="250"/>
      <c r="AH53" s="250"/>
    </row>
    <row r="54" spans="1:34" x14ac:dyDescent="0.25">
      <c r="A54" s="250"/>
      <c r="B54" s="317">
        <f>C53</f>
        <v>-6.5</v>
      </c>
      <c r="C54" s="317">
        <f t="shared" si="22"/>
        <v>-7.0171148509357311</v>
      </c>
      <c r="D54" s="317">
        <f t="shared" si="23"/>
        <v>0.51711485093573106</v>
      </c>
      <c r="E54" s="317">
        <f t="shared" si="27"/>
        <v>0.25855742546786598</v>
      </c>
      <c r="F54" s="322">
        <f t="shared" si="24"/>
        <v>2.6740776905828381</v>
      </c>
      <c r="G54" s="323">
        <f t="shared" si="28"/>
        <v>0.13370388452914192</v>
      </c>
      <c r="H54" s="315"/>
      <c r="I54" s="322">
        <f t="shared" si="25"/>
        <v>0.33425971132285481</v>
      </c>
      <c r="J54" s="323">
        <f t="shared" si="26"/>
        <v>0.13370388452914192</v>
      </c>
      <c r="K54" s="315"/>
      <c r="L54" s="315"/>
      <c r="M54" s="315"/>
      <c r="N54" s="250"/>
      <c r="O54" s="250"/>
      <c r="P54" s="250"/>
      <c r="Q54" s="250"/>
      <c r="R54" s="250"/>
      <c r="S54" s="250"/>
      <c r="T54" s="250"/>
      <c r="U54" s="250"/>
      <c r="V54" s="250"/>
      <c r="W54" s="250"/>
      <c r="X54" s="250"/>
      <c r="Y54" s="250"/>
      <c r="Z54" s="250"/>
      <c r="AA54" s="250"/>
      <c r="AB54" s="250"/>
      <c r="AC54" s="250"/>
      <c r="AD54" s="250"/>
      <c r="AE54" s="250"/>
      <c r="AF54" s="250"/>
      <c r="AG54" s="250"/>
      <c r="AH54" s="250"/>
    </row>
    <row r="55" spans="1:34" x14ac:dyDescent="0.25">
      <c r="A55" s="250"/>
      <c r="B55" s="317">
        <f t="shared" ref="B55:B60" si="29">C54</f>
        <v>-7.0171148509357311</v>
      </c>
      <c r="C55" s="317">
        <f t="shared" si="22"/>
        <v>-7.0171148509357311</v>
      </c>
      <c r="D55" s="317">
        <f t="shared" si="23"/>
        <v>0</v>
      </c>
      <c r="E55" s="317">
        <f t="shared" si="27"/>
        <v>0</v>
      </c>
      <c r="F55" s="322">
        <f t="shared" si="24"/>
        <v>0</v>
      </c>
      <c r="G55" s="323">
        <f t="shared" si="28"/>
        <v>0</v>
      </c>
      <c r="H55" s="315"/>
      <c r="I55" s="322">
        <f t="shared" si="25"/>
        <v>0</v>
      </c>
      <c r="J55" s="323">
        <f t="shared" si="26"/>
        <v>0</v>
      </c>
      <c r="K55" s="315"/>
      <c r="L55" s="315"/>
      <c r="M55" s="315"/>
      <c r="N55" s="250"/>
      <c r="O55" s="250"/>
      <c r="P55" s="250"/>
      <c r="Q55" s="250"/>
      <c r="R55" s="250"/>
      <c r="S55" s="250"/>
      <c r="T55" s="250"/>
      <c r="U55" s="250"/>
      <c r="V55" s="250"/>
      <c r="W55" s="250"/>
      <c r="X55" s="250"/>
      <c r="Y55" s="250"/>
      <c r="Z55" s="250"/>
      <c r="AA55" s="250"/>
      <c r="AB55" s="250"/>
      <c r="AC55" s="250"/>
      <c r="AD55" s="250"/>
      <c r="AE55" s="250"/>
      <c r="AF55" s="250"/>
      <c r="AG55" s="250"/>
      <c r="AH55" s="250"/>
    </row>
    <row r="56" spans="1:34" x14ac:dyDescent="0.25">
      <c r="A56" s="250"/>
      <c r="B56" s="317">
        <f t="shared" si="29"/>
        <v>-7.0171148509357311</v>
      </c>
      <c r="C56" s="317">
        <f t="shared" si="22"/>
        <v>-7.0171148509357311</v>
      </c>
      <c r="D56" s="317">
        <f t="shared" si="23"/>
        <v>0</v>
      </c>
      <c r="E56" s="317">
        <f t="shared" si="27"/>
        <v>0</v>
      </c>
      <c r="F56" s="322">
        <f t="shared" si="24"/>
        <v>0</v>
      </c>
      <c r="G56" s="323">
        <f t="shared" si="28"/>
        <v>0</v>
      </c>
      <c r="H56" s="315"/>
      <c r="I56" s="322">
        <f t="shared" si="25"/>
        <v>0</v>
      </c>
      <c r="J56" s="323">
        <f t="shared" si="26"/>
        <v>0</v>
      </c>
      <c r="K56" s="315"/>
      <c r="L56" s="315"/>
      <c r="M56" s="315"/>
      <c r="N56" s="250"/>
      <c r="O56" s="250"/>
      <c r="P56" s="250"/>
      <c r="Q56" s="250"/>
      <c r="R56" s="250"/>
      <c r="S56" s="250"/>
      <c r="T56" s="250"/>
      <c r="U56" s="250"/>
      <c r="V56" s="250"/>
      <c r="W56" s="250"/>
      <c r="X56" s="250"/>
      <c r="Y56" s="250"/>
      <c r="Z56" s="250"/>
      <c r="AA56" s="250"/>
      <c r="AB56" s="250"/>
      <c r="AC56" s="250"/>
      <c r="AD56" s="250"/>
      <c r="AE56" s="250"/>
      <c r="AF56" s="250"/>
      <c r="AG56" s="250"/>
      <c r="AH56" s="250"/>
    </row>
    <row r="57" spans="1:34" x14ac:dyDescent="0.25">
      <c r="A57" s="250"/>
      <c r="B57" s="317">
        <f t="shared" si="29"/>
        <v>-7.0171148509357311</v>
      </c>
      <c r="C57" s="317">
        <f t="shared" si="22"/>
        <v>-7.0171148509357311</v>
      </c>
      <c r="D57" s="317">
        <f t="shared" si="23"/>
        <v>0</v>
      </c>
      <c r="E57" s="317">
        <f t="shared" si="27"/>
        <v>0</v>
      </c>
      <c r="F57" s="322">
        <f t="shared" si="24"/>
        <v>0</v>
      </c>
      <c r="G57" s="323">
        <f t="shared" si="28"/>
        <v>0</v>
      </c>
      <c r="H57" s="315"/>
      <c r="I57" s="322">
        <f t="shared" si="25"/>
        <v>0</v>
      </c>
      <c r="J57" s="323">
        <f t="shared" si="26"/>
        <v>0</v>
      </c>
      <c r="K57" s="315"/>
      <c r="L57" s="315"/>
      <c r="M57" s="315"/>
      <c r="N57" s="250"/>
      <c r="O57" s="250"/>
      <c r="P57" s="250"/>
      <c r="Q57" s="250"/>
      <c r="R57" s="250"/>
      <c r="S57" s="250"/>
      <c r="T57" s="250"/>
      <c r="U57" s="250"/>
      <c r="V57" s="250"/>
      <c r="W57" s="250"/>
      <c r="X57" s="250"/>
      <c r="Y57" s="250"/>
      <c r="Z57" s="250"/>
      <c r="AA57" s="250"/>
      <c r="AB57" s="250"/>
      <c r="AC57" s="250"/>
      <c r="AD57" s="250"/>
      <c r="AE57" s="250"/>
      <c r="AF57" s="250"/>
      <c r="AG57" s="250"/>
      <c r="AH57" s="250"/>
    </row>
    <row r="58" spans="1:34" x14ac:dyDescent="0.25">
      <c r="A58" s="250"/>
      <c r="B58" s="317">
        <f t="shared" si="29"/>
        <v>-7.0171148509357311</v>
      </c>
      <c r="C58" s="317">
        <f t="shared" si="22"/>
        <v>-7.0171148509357311</v>
      </c>
      <c r="D58" s="317">
        <f t="shared" si="23"/>
        <v>0</v>
      </c>
      <c r="E58" s="317">
        <f t="shared" si="27"/>
        <v>0</v>
      </c>
      <c r="F58" s="322">
        <f t="shared" si="24"/>
        <v>0</v>
      </c>
      <c r="G58" s="323">
        <f t="shared" si="28"/>
        <v>0</v>
      </c>
      <c r="H58" s="315"/>
      <c r="I58" s="322">
        <f t="shared" si="25"/>
        <v>0</v>
      </c>
      <c r="J58" s="323">
        <f t="shared" si="26"/>
        <v>0</v>
      </c>
      <c r="K58" s="315"/>
      <c r="L58" s="315"/>
      <c r="M58" s="315"/>
      <c r="N58" s="250"/>
      <c r="O58" s="250"/>
      <c r="P58" s="250"/>
      <c r="Q58" s="250"/>
      <c r="R58" s="250"/>
      <c r="S58" s="250"/>
      <c r="T58" s="250"/>
      <c r="U58" s="250"/>
      <c r="V58" s="250"/>
      <c r="W58" s="250"/>
      <c r="X58" s="250"/>
      <c r="Y58" s="250"/>
      <c r="Z58" s="250"/>
      <c r="AA58" s="250"/>
      <c r="AB58" s="250"/>
      <c r="AC58" s="250"/>
      <c r="AD58" s="250"/>
      <c r="AE58" s="250"/>
      <c r="AF58" s="250"/>
      <c r="AG58" s="250"/>
      <c r="AH58" s="250"/>
    </row>
    <row r="59" spans="1:34" x14ac:dyDescent="0.25">
      <c r="A59" s="250"/>
      <c r="B59" s="317">
        <f t="shared" si="29"/>
        <v>-7.0171148509357311</v>
      </c>
      <c r="C59" s="317">
        <f t="shared" si="22"/>
        <v>-7.0171148509357311</v>
      </c>
      <c r="D59" s="317">
        <f t="shared" si="23"/>
        <v>0</v>
      </c>
      <c r="E59" s="317">
        <f t="shared" si="27"/>
        <v>0</v>
      </c>
      <c r="F59" s="322">
        <f t="shared" si="24"/>
        <v>0</v>
      </c>
      <c r="G59" s="323">
        <f t="shared" si="28"/>
        <v>0</v>
      </c>
      <c r="H59" s="315"/>
      <c r="I59" s="322">
        <f t="shared" si="25"/>
        <v>0</v>
      </c>
      <c r="J59" s="323">
        <f t="shared" si="26"/>
        <v>0</v>
      </c>
      <c r="K59" s="315"/>
      <c r="L59" s="315"/>
      <c r="M59" s="315"/>
      <c r="N59" s="250"/>
      <c r="O59" s="250"/>
      <c r="P59" s="250"/>
      <c r="Q59" s="250"/>
      <c r="R59" s="250"/>
      <c r="S59" s="250"/>
      <c r="T59" s="250"/>
      <c r="U59" s="250"/>
      <c r="V59" s="250"/>
      <c r="W59" s="250"/>
      <c r="X59" s="250"/>
      <c r="Y59" s="250"/>
      <c r="Z59" s="250"/>
      <c r="AA59" s="250"/>
      <c r="AB59" s="250"/>
      <c r="AC59" s="250"/>
      <c r="AD59" s="250"/>
      <c r="AE59" s="250"/>
      <c r="AF59" s="250"/>
      <c r="AG59" s="250"/>
      <c r="AH59" s="250"/>
    </row>
    <row r="60" spans="1:34" x14ac:dyDescent="0.25">
      <c r="A60" s="250"/>
      <c r="B60" s="317">
        <f t="shared" si="29"/>
        <v>-7.0171148509357311</v>
      </c>
      <c r="C60" s="317">
        <f t="shared" si="22"/>
        <v>-7.0171148509357311</v>
      </c>
      <c r="D60" s="317">
        <f t="shared" si="23"/>
        <v>0</v>
      </c>
      <c r="E60" s="317">
        <f t="shared" si="27"/>
        <v>0</v>
      </c>
      <c r="F60" s="322">
        <f t="shared" si="24"/>
        <v>0</v>
      </c>
      <c r="G60" s="323">
        <f t="shared" si="28"/>
        <v>0</v>
      </c>
      <c r="H60" s="315"/>
      <c r="I60" s="322">
        <f t="shared" si="25"/>
        <v>0</v>
      </c>
      <c r="J60" s="323">
        <f t="shared" si="26"/>
        <v>0</v>
      </c>
      <c r="K60" s="315"/>
      <c r="L60" s="315"/>
      <c r="M60" s="315"/>
      <c r="N60" s="250"/>
      <c r="O60" s="250"/>
      <c r="P60" s="250"/>
      <c r="Q60" s="250"/>
      <c r="R60" s="250"/>
      <c r="S60" s="250"/>
      <c r="T60" s="250"/>
      <c r="U60" s="250"/>
      <c r="V60" s="250"/>
      <c r="W60" s="250"/>
      <c r="X60" s="250"/>
      <c r="Y60" s="250"/>
      <c r="Z60" s="250"/>
      <c r="AA60" s="250"/>
      <c r="AB60" s="250"/>
      <c r="AC60" s="250"/>
      <c r="AD60" s="250"/>
      <c r="AE60" s="250"/>
      <c r="AF60" s="250"/>
      <c r="AG60" s="250"/>
      <c r="AH60" s="250"/>
    </row>
    <row r="61" spans="1:34" ht="15.75" thickBot="1" x14ac:dyDescent="0.3">
      <c r="A61" s="250"/>
      <c r="B61" s="315"/>
      <c r="C61" s="315"/>
      <c r="D61" s="315"/>
      <c r="E61" s="315"/>
      <c r="F61" s="324"/>
      <c r="G61" s="325"/>
      <c r="H61" s="315"/>
      <c r="I61" s="324"/>
      <c r="J61" s="325"/>
      <c r="K61" s="315"/>
      <c r="L61" s="315"/>
      <c r="M61" s="315"/>
      <c r="N61" s="250"/>
      <c r="O61" s="250"/>
      <c r="P61" s="250"/>
      <c r="Q61" s="250"/>
      <c r="R61" s="250"/>
      <c r="S61" s="250"/>
      <c r="T61" s="250"/>
      <c r="U61" s="250"/>
      <c r="V61" s="250"/>
      <c r="W61" s="250"/>
      <c r="X61" s="250"/>
      <c r="Y61" s="250"/>
      <c r="Z61" s="250"/>
      <c r="AA61" s="250"/>
      <c r="AB61" s="250"/>
      <c r="AC61" s="250"/>
      <c r="AD61" s="250"/>
      <c r="AE61" s="250"/>
      <c r="AF61" s="250"/>
      <c r="AG61" s="250"/>
      <c r="AH61" s="250"/>
    </row>
    <row r="62" spans="1:34" x14ac:dyDescent="0.25">
      <c r="A62" s="250"/>
      <c r="B62" s="315"/>
      <c r="C62" s="315"/>
      <c r="D62" s="315"/>
      <c r="E62" s="315"/>
      <c r="F62" s="319">
        <f>SUM(F50:F60)</f>
        <v>356.23296476243104</v>
      </c>
      <c r="G62" s="321">
        <f>SUM(G50:G60)</f>
        <v>14.94467239666101</v>
      </c>
      <c r="H62" s="315"/>
      <c r="I62" s="319">
        <f>SUM(I50:I60)</f>
        <v>15.462621093340838</v>
      </c>
      <c r="J62" s="321">
        <f>SUM(J50:J60)</f>
        <v>14.94467239666101</v>
      </c>
      <c r="K62" s="315"/>
      <c r="L62" s="315"/>
      <c r="M62" s="315"/>
      <c r="N62" s="250"/>
      <c r="O62" s="250"/>
      <c r="P62" s="250"/>
      <c r="Q62" s="250"/>
      <c r="R62" s="250"/>
      <c r="S62" s="250"/>
      <c r="T62" s="250"/>
      <c r="U62" s="250"/>
      <c r="V62" s="250"/>
      <c r="W62" s="250"/>
      <c r="X62" s="250"/>
      <c r="Y62" s="250"/>
      <c r="Z62" s="250"/>
      <c r="AA62" s="250"/>
      <c r="AB62" s="250"/>
      <c r="AC62" s="250"/>
      <c r="AD62" s="250"/>
      <c r="AE62" s="250"/>
      <c r="AF62" s="250"/>
      <c r="AG62" s="250"/>
      <c r="AH62" s="250"/>
    </row>
    <row r="63" spans="1:34" ht="15.75" x14ac:dyDescent="0.3">
      <c r="A63" s="250"/>
      <c r="B63" s="315"/>
      <c r="C63" s="315"/>
      <c r="D63" s="315"/>
      <c r="E63" s="315"/>
      <c r="F63" s="326" t="s">
        <v>223</v>
      </c>
      <c r="G63" s="327">
        <f>F62/G62</f>
        <v>23.836786468602806</v>
      </c>
      <c r="H63" s="315"/>
      <c r="I63" s="326" t="s">
        <v>224</v>
      </c>
      <c r="J63" s="323">
        <f>I62/J62</f>
        <v>1.0346577484559347</v>
      </c>
      <c r="K63" s="315"/>
      <c r="L63" s="315"/>
      <c r="M63" s="315"/>
      <c r="N63" s="250"/>
      <c r="O63" s="250"/>
      <c r="P63" s="250"/>
      <c r="Q63" s="250"/>
      <c r="R63" s="250"/>
      <c r="S63" s="250"/>
      <c r="T63" s="250"/>
      <c r="U63" s="250"/>
      <c r="V63" s="250"/>
      <c r="W63" s="250"/>
      <c r="X63" s="250"/>
      <c r="Y63" s="250"/>
      <c r="Z63" s="250"/>
      <c r="AA63" s="250"/>
      <c r="AB63" s="250"/>
      <c r="AC63" s="250"/>
      <c r="AD63" s="250"/>
      <c r="AE63" s="250"/>
      <c r="AF63" s="250"/>
      <c r="AG63" s="250"/>
      <c r="AH63" s="250"/>
    </row>
    <row r="64" spans="1:34" ht="16.5" thickBot="1" x14ac:dyDescent="0.35">
      <c r="A64" s="250"/>
      <c r="B64" s="315"/>
      <c r="C64" s="315"/>
      <c r="D64" s="315"/>
      <c r="E64" s="315"/>
      <c r="F64" s="328" t="s">
        <v>225</v>
      </c>
      <c r="G64" s="329">
        <f>ATAN(TAN(G63*(PI()/180))/K26)/(PI()/180)</f>
        <v>21.016328584474582</v>
      </c>
      <c r="H64" s="315"/>
      <c r="I64" s="328" t="s">
        <v>226</v>
      </c>
      <c r="J64" s="330">
        <f>J63/L26</f>
        <v>0.6466610927849592</v>
      </c>
      <c r="K64" s="315"/>
      <c r="L64" s="315"/>
      <c r="M64" s="315"/>
      <c r="N64" s="250"/>
      <c r="O64" s="250"/>
      <c r="P64" s="250"/>
      <c r="Q64" s="250"/>
      <c r="R64" s="250"/>
      <c r="S64" s="250"/>
      <c r="T64" s="250"/>
      <c r="U64" s="250"/>
      <c r="V64" s="250"/>
      <c r="W64" s="250"/>
      <c r="X64" s="250"/>
      <c r="Y64" s="250"/>
      <c r="Z64" s="250"/>
      <c r="AA64" s="250"/>
      <c r="AB64" s="250"/>
      <c r="AC64" s="250"/>
      <c r="AD64" s="250"/>
      <c r="AE64" s="250"/>
      <c r="AF64" s="250"/>
      <c r="AG64" s="250"/>
      <c r="AH64" s="250"/>
    </row>
    <row r="65" spans="1:34" x14ac:dyDescent="0.25">
      <c r="A65" s="250"/>
      <c r="B65" s="315"/>
      <c r="C65" s="315"/>
      <c r="D65" s="315"/>
      <c r="E65" s="315"/>
      <c r="F65" s="315"/>
      <c r="G65" s="315"/>
      <c r="H65" s="315"/>
      <c r="I65" s="315"/>
      <c r="J65" s="315"/>
      <c r="K65" s="315"/>
      <c r="L65" s="315"/>
      <c r="M65" s="315"/>
      <c r="N65" s="250"/>
      <c r="O65" s="250"/>
      <c r="P65" s="250"/>
      <c r="Q65" s="250"/>
      <c r="R65" s="250"/>
      <c r="S65" s="250"/>
      <c r="T65" s="250"/>
      <c r="U65" s="250"/>
      <c r="V65" s="250"/>
      <c r="W65" s="250"/>
      <c r="X65" s="250"/>
      <c r="Y65" s="250"/>
      <c r="Z65" s="250"/>
      <c r="AA65" s="250"/>
      <c r="AB65" s="250"/>
      <c r="AC65" s="250"/>
      <c r="AD65" s="250"/>
      <c r="AE65" s="250"/>
      <c r="AF65" s="250"/>
      <c r="AG65" s="250"/>
      <c r="AH65" s="250"/>
    </row>
    <row r="66" spans="1:34" ht="15.75" thickBot="1" x14ac:dyDescent="0.3">
      <c r="A66" s="250"/>
      <c r="B66" s="315"/>
      <c r="C66" s="315"/>
      <c r="D66" s="315" t="s">
        <v>221</v>
      </c>
      <c r="E66" s="315" t="s">
        <v>227</v>
      </c>
      <c r="F66" s="315" t="s">
        <v>228</v>
      </c>
      <c r="G66" s="315"/>
      <c r="H66" s="315"/>
      <c r="I66" s="315"/>
      <c r="J66" s="315"/>
      <c r="K66" s="315"/>
      <c r="L66" s="315"/>
      <c r="M66" s="315"/>
      <c r="N66" s="250"/>
      <c r="O66" s="250"/>
      <c r="P66" s="250"/>
      <c r="Q66" s="250"/>
      <c r="R66" s="250"/>
      <c r="S66" s="250"/>
      <c r="T66" s="250"/>
      <c r="U66" s="250"/>
      <c r="V66" s="250"/>
      <c r="W66" s="250"/>
      <c r="X66" s="250"/>
      <c r="Y66" s="250"/>
      <c r="Z66" s="250"/>
      <c r="AA66" s="250"/>
      <c r="AB66" s="250"/>
      <c r="AC66" s="250"/>
      <c r="AD66" s="250"/>
      <c r="AE66" s="250"/>
      <c r="AF66" s="250"/>
      <c r="AG66" s="250"/>
      <c r="AH66" s="250"/>
    </row>
    <row r="67" spans="1:34" x14ac:dyDescent="0.25">
      <c r="A67" s="250"/>
      <c r="B67" s="317">
        <f t="shared" ref="B67:D77" si="30">B50</f>
        <v>-1.55</v>
      </c>
      <c r="C67" s="317">
        <f t="shared" si="30"/>
        <v>-1.55</v>
      </c>
      <c r="D67" s="317">
        <f t="shared" si="30"/>
        <v>0</v>
      </c>
      <c r="E67" s="317">
        <f t="shared" ref="E67:E77" si="31">F27</f>
        <v>15.454545454545453</v>
      </c>
      <c r="F67" s="317">
        <f t="shared" ref="F67:F77" si="32">G27-10</f>
        <v>7.2727272727272698</v>
      </c>
      <c r="G67" s="317">
        <f>IF(D67=0,0,IF(C67&gt;=$C$3,E67,F67)*D67/D67)</f>
        <v>0</v>
      </c>
      <c r="H67" s="331">
        <f t="shared" ref="H67:H77" si="33">D50*E50*G67</f>
        <v>0</v>
      </c>
      <c r="I67" s="321">
        <f t="shared" ref="I67:I77" si="34">D50*E50</f>
        <v>0</v>
      </c>
      <c r="J67" s="315"/>
      <c r="K67" s="315"/>
      <c r="L67" s="315"/>
      <c r="M67" s="315"/>
      <c r="N67" s="250"/>
      <c r="O67" s="250"/>
      <c r="P67" s="250"/>
      <c r="Q67" s="250"/>
      <c r="R67" s="250"/>
      <c r="S67" s="250"/>
      <c r="T67" s="250"/>
      <c r="U67" s="250"/>
      <c r="V67" s="250"/>
      <c r="W67" s="250"/>
      <c r="X67" s="250"/>
      <c r="Y67" s="250"/>
      <c r="Z67" s="250"/>
      <c r="AA67" s="250"/>
      <c r="AB67" s="250"/>
      <c r="AC67" s="250"/>
      <c r="AD67" s="250"/>
      <c r="AE67" s="250"/>
      <c r="AF67" s="250"/>
      <c r="AG67" s="250"/>
      <c r="AH67" s="250"/>
    </row>
    <row r="68" spans="1:34" x14ac:dyDescent="0.25">
      <c r="A68" s="250"/>
      <c r="B68" s="317">
        <f t="shared" si="30"/>
        <v>-1.55</v>
      </c>
      <c r="C68" s="317">
        <f t="shared" si="30"/>
        <v>-2</v>
      </c>
      <c r="D68" s="317">
        <f t="shared" si="30"/>
        <v>0.44999999999999996</v>
      </c>
      <c r="E68" s="317">
        <f t="shared" si="31"/>
        <v>15.454545454545453</v>
      </c>
      <c r="F68" s="317">
        <f t="shared" si="32"/>
        <v>7.2727272727272698</v>
      </c>
      <c r="G68" s="317">
        <f>IF(D68=0,0,IF(C68&gt;=$C$3,E68,F68)*D68/D68)</f>
        <v>15.454545454545453</v>
      </c>
      <c r="H68" s="332">
        <f t="shared" si="33"/>
        <v>36.456526008780308</v>
      </c>
      <c r="I68" s="323">
        <f t="shared" si="34"/>
        <v>2.358951682921079</v>
      </c>
      <c r="J68" s="315"/>
      <c r="K68" s="315"/>
      <c r="L68" s="315"/>
      <c r="M68" s="315"/>
      <c r="N68" s="250"/>
      <c r="O68" s="250"/>
      <c r="P68" s="250"/>
      <c r="Q68" s="250"/>
      <c r="R68" s="250"/>
      <c r="S68" s="250"/>
      <c r="T68" s="250"/>
      <c r="U68" s="250"/>
      <c r="V68" s="250"/>
      <c r="W68" s="250"/>
      <c r="X68" s="250"/>
      <c r="Y68" s="250"/>
      <c r="Z68" s="250"/>
      <c r="AA68" s="250"/>
      <c r="AB68" s="250"/>
      <c r="AC68" s="250"/>
      <c r="AD68" s="250"/>
      <c r="AE68" s="250"/>
      <c r="AF68" s="250"/>
      <c r="AG68" s="250"/>
      <c r="AH68" s="250"/>
    </row>
    <row r="69" spans="1:34" x14ac:dyDescent="0.25">
      <c r="A69" s="250"/>
      <c r="B69" s="317">
        <f t="shared" si="30"/>
        <v>-2</v>
      </c>
      <c r="C69" s="317">
        <f t="shared" si="30"/>
        <v>-3.5</v>
      </c>
      <c r="D69" s="317">
        <f t="shared" si="30"/>
        <v>1.5</v>
      </c>
      <c r="E69" s="317">
        <f t="shared" si="31"/>
        <v>15.454545454545453</v>
      </c>
      <c r="F69" s="317">
        <f t="shared" si="32"/>
        <v>7.2727272727272698</v>
      </c>
      <c r="G69" s="317">
        <f>IF(D69=0,0,IF(C69&gt;=$C$3,E69,F69)*D69/D69)</f>
        <v>7.2727272727272698</v>
      </c>
      <c r="H69" s="332">
        <f t="shared" si="33"/>
        <v>46.550343828389778</v>
      </c>
      <c r="I69" s="323">
        <f t="shared" si="34"/>
        <v>6.400672276403597</v>
      </c>
      <c r="J69" s="315"/>
      <c r="K69" s="315"/>
      <c r="L69" s="315"/>
      <c r="M69" s="315"/>
      <c r="N69" s="250"/>
      <c r="O69" s="250"/>
      <c r="P69" s="250"/>
      <c r="Q69" s="250"/>
      <c r="R69" s="250"/>
      <c r="S69" s="250"/>
      <c r="T69" s="250"/>
      <c r="U69" s="250"/>
      <c r="V69" s="250"/>
      <c r="W69" s="250"/>
      <c r="X69" s="250"/>
      <c r="Y69" s="250"/>
      <c r="Z69" s="250"/>
      <c r="AA69" s="250"/>
      <c r="AB69" s="250"/>
      <c r="AC69" s="250"/>
      <c r="AD69" s="250"/>
      <c r="AE69" s="250"/>
      <c r="AF69" s="250"/>
      <c r="AG69" s="250"/>
      <c r="AH69" s="250"/>
    </row>
    <row r="70" spans="1:34" x14ac:dyDescent="0.25">
      <c r="A70" s="250"/>
      <c r="B70" s="317">
        <f t="shared" si="30"/>
        <v>-3.5</v>
      </c>
      <c r="C70" s="317">
        <f t="shared" si="30"/>
        <v>-6.5</v>
      </c>
      <c r="D70" s="317">
        <f t="shared" si="30"/>
        <v>3</v>
      </c>
      <c r="E70" s="317">
        <f t="shared" si="31"/>
        <v>10</v>
      </c>
      <c r="F70" s="317">
        <f t="shared" si="32"/>
        <v>0</v>
      </c>
      <c r="G70" s="317">
        <f t="shared" ref="G70:G77" si="35">IF(D70=0,0,IF(C70&gt;=$C$3,E70,F70)*D70/D70)</f>
        <v>0</v>
      </c>
      <c r="H70" s="332">
        <f t="shared" si="33"/>
        <v>0</v>
      </c>
      <c r="I70" s="323">
        <f t="shared" si="34"/>
        <v>6.0513445528071932</v>
      </c>
      <c r="J70" s="315"/>
      <c r="K70" s="315"/>
      <c r="L70" s="315"/>
      <c r="M70" s="315"/>
      <c r="N70" s="250"/>
      <c r="O70" s="250"/>
      <c r="P70" s="250"/>
      <c r="Q70" s="250"/>
      <c r="R70" s="250"/>
      <c r="S70" s="250"/>
      <c r="T70" s="250"/>
      <c r="U70" s="250"/>
      <c r="V70" s="250"/>
      <c r="W70" s="250"/>
      <c r="X70" s="250"/>
      <c r="Y70" s="250"/>
      <c r="Z70" s="250"/>
      <c r="AA70" s="250"/>
      <c r="AB70" s="250"/>
      <c r="AC70" s="250"/>
      <c r="AD70" s="250"/>
      <c r="AE70" s="250"/>
      <c r="AF70" s="250"/>
      <c r="AG70" s="250"/>
      <c r="AH70" s="250"/>
    </row>
    <row r="71" spans="1:34" x14ac:dyDescent="0.25">
      <c r="A71" s="250"/>
      <c r="B71" s="317">
        <f t="shared" si="30"/>
        <v>-6.5</v>
      </c>
      <c r="C71" s="317">
        <f t="shared" si="30"/>
        <v>-7.0171148509357311</v>
      </c>
      <c r="D71" s="317">
        <f t="shared" si="30"/>
        <v>0.51711485093573106</v>
      </c>
      <c r="E71" s="317">
        <f t="shared" si="31"/>
        <v>10.909090909090908</v>
      </c>
      <c r="F71" s="317">
        <f t="shared" si="32"/>
        <v>0.90909090909090828</v>
      </c>
      <c r="G71" s="317">
        <f t="shared" si="35"/>
        <v>0.90909090909090828</v>
      </c>
      <c r="H71" s="332">
        <f t="shared" si="33"/>
        <v>0.12154898593558346</v>
      </c>
      <c r="I71" s="323">
        <f t="shared" si="34"/>
        <v>0.13370388452914192</v>
      </c>
      <c r="J71" s="315"/>
      <c r="K71" s="315"/>
      <c r="L71" s="315"/>
      <c r="M71" s="315"/>
      <c r="N71" s="250"/>
      <c r="O71" s="250"/>
      <c r="P71" s="250"/>
      <c r="Q71" s="250"/>
      <c r="R71" s="250"/>
      <c r="S71" s="250"/>
      <c r="T71" s="250"/>
      <c r="U71" s="250"/>
      <c r="V71" s="250"/>
      <c r="W71" s="250"/>
      <c r="X71" s="250"/>
      <c r="Y71" s="250"/>
      <c r="Z71" s="250"/>
      <c r="AA71" s="250"/>
      <c r="AB71" s="250"/>
      <c r="AC71" s="250"/>
      <c r="AD71" s="250"/>
      <c r="AE71" s="250"/>
      <c r="AF71" s="250"/>
      <c r="AG71" s="250"/>
      <c r="AH71" s="250"/>
    </row>
    <row r="72" spans="1:34" x14ac:dyDescent="0.25">
      <c r="A72" s="250"/>
      <c r="B72" s="317">
        <f t="shared" si="30"/>
        <v>-7.0171148509357311</v>
      </c>
      <c r="C72" s="317">
        <f t="shared" si="30"/>
        <v>-7.0171148509357311</v>
      </c>
      <c r="D72" s="317">
        <f t="shared" si="30"/>
        <v>0</v>
      </c>
      <c r="E72" s="317">
        <f t="shared" si="31"/>
        <v>16.363636363636363</v>
      </c>
      <c r="F72" s="317">
        <f t="shared" si="32"/>
        <v>8.1818181818181799</v>
      </c>
      <c r="G72" s="317">
        <f t="shared" si="35"/>
        <v>0</v>
      </c>
      <c r="H72" s="332">
        <f t="shared" si="33"/>
        <v>0</v>
      </c>
      <c r="I72" s="323">
        <f t="shared" si="34"/>
        <v>0</v>
      </c>
      <c r="J72" s="315"/>
      <c r="K72" s="315"/>
      <c r="L72" s="315"/>
      <c r="M72" s="315"/>
      <c r="N72" s="250"/>
      <c r="O72" s="250"/>
      <c r="P72" s="250"/>
      <c r="Q72" s="250"/>
      <c r="R72" s="250"/>
      <c r="S72" s="250"/>
      <c r="T72" s="250"/>
      <c r="U72" s="250"/>
      <c r="V72" s="250"/>
      <c r="W72" s="250"/>
      <c r="X72" s="250"/>
      <c r="Y72" s="250"/>
      <c r="Z72" s="250"/>
      <c r="AA72" s="250"/>
      <c r="AB72" s="250"/>
      <c r="AC72" s="250"/>
      <c r="AD72" s="250"/>
      <c r="AE72" s="250"/>
      <c r="AF72" s="250"/>
      <c r="AG72" s="250"/>
      <c r="AH72" s="250"/>
    </row>
    <row r="73" spans="1:34" x14ac:dyDescent="0.25">
      <c r="A73" s="250"/>
      <c r="B73" s="317">
        <f t="shared" si="30"/>
        <v>-7.0171148509357311</v>
      </c>
      <c r="C73" s="317">
        <f t="shared" si="30"/>
        <v>-7.0171148509357311</v>
      </c>
      <c r="D73" s="317">
        <f t="shared" si="30"/>
        <v>0</v>
      </c>
      <c r="E73" s="317">
        <f t="shared" si="31"/>
        <v>15.454545454545453</v>
      </c>
      <c r="F73" s="317">
        <f t="shared" si="32"/>
        <v>5.4545454545454533</v>
      </c>
      <c r="G73" s="317">
        <f t="shared" si="35"/>
        <v>0</v>
      </c>
      <c r="H73" s="332">
        <f t="shared" si="33"/>
        <v>0</v>
      </c>
      <c r="I73" s="323">
        <f t="shared" si="34"/>
        <v>0</v>
      </c>
      <c r="J73" s="315"/>
      <c r="K73" s="315"/>
      <c r="L73" s="315"/>
      <c r="M73" s="315"/>
      <c r="N73" s="250"/>
      <c r="O73" s="250"/>
      <c r="P73" s="250"/>
      <c r="Q73" s="250"/>
      <c r="R73" s="250"/>
      <c r="S73" s="250"/>
      <c r="T73" s="250"/>
      <c r="U73" s="250"/>
      <c r="V73" s="250"/>
      <c r="W73" s="250"/>
      <c r="X73" s="250"/>
      <c r="Y73" s="250"/>
      <c r="Z73" s="250"/>
      <c r="AA73" s="250"/>
      <c r="AB73" s="250"/>
      <c r="AC73" s="250"/>
      <c r="AD73" s="250"/>
      <c r="AE73" s="250"/>
      <c r="AF73" s="250"/>
      <c r="AG73" s="250"/>
      <c r="AH73" s="250"/>
    </row>
    <row r="74" spans="1:34" x14ac:dyDescent="0.25">
      <c r="A74" s="250"/>
      <c r="B74" s="317">
        <f t="shared" si="30"/>
        <v>-7.0171148509357311</v>
      </c>
      <c r="C74" s="317">
        <f t="shared" si="30"/>
        <v>-7.0171148509357311</v>
      </c>
      <c r="D74" s="317">
        <f t="shared" si="30"/>
        <v>0</v>
      </c>
      <c r="E74" s="317">
        <f t="shared" si="31"/>
        <v>15.454545454545453</v>
      </c>
      <c r="F74" s="317">
        <f t="shared" si="32"/>
        <v>5.4545454545454533</v>
      </c>
      <c r="G74" s="317">
        <f t="shared" si="35"/>
        <v>0</v>
      </c>
      <c r="H74" s="332">
        <f t="shared" si="33"/>
        <v>0</v>
      </c>
      <c r="I74" s="323">
        <f t="shared" si="34"/>
        <v>0</v>
      </c>
      <c r="J74" s="315"/>
      <c r="K74" s="315"/>
      <c r="L74" s="315"/>
      <c r="M74" s="315"/>
      <c r="N74" s="250"/>
      <c r="O74" s="250"/>
      <c r="P74" s="250"/>
      <c r="Q74" s="250"/>
      <c r="R74" s="250"/>
      <c r="S74" s="250"/>
      <c r="T74" s="250"/>
      <c r="U74" s="250"/>
      <c r="V74" s="250"/>
      <c r="W74" s="250"/>
      <c r="X74" s="250"/>
      <c r="Y74" s="250"/>
      <c r="Z74" s="250"/>
      <c r="AA74" s="250"/>
      <c r="AB74" s="250"/>
      <c r="AC74" s="250"/>
      <c r="AD74" s="250"/>
      <c r="AE74" s="250"/>
      <c r="AF74" s="250"/>
      <c r="AG74" s="250"/>
      <c r="AH74" s="250"/>
    </row>
    <row r="75" spans="1:34" x14ac:dyDescent="0.25">
      <c r="A75" s="250"/>
      <c r="B75" s="317">
        <f t="shared" si="30"/>
        <v>-7.0171148509357311</v>
      </c>
      <c r="C75" s="317">
        <f t="shared" si="30"/>
        <v>-7.0171148509357311</v>
      </c>
      <c r="D75" s="317">
        <f t="shared" si="30"/>
        <v>0</v>
      </c>
      <c r="E75" s="317">
        <f t="shared" si="31"/>
        <v>17.27272727272727</v>
      </c>
      <c r="F75" s="317">
        <f t="shared" si="32"/>
        <v>9.0909090909090899</v>
      </c>
      <c r="G75" s="317">
        <f t="shared" si="35"/>
        <v>0</v>
      </c>
      <c r="H75" s="332">
        <f t="shared" si="33"/>
        <v>0</v>
      </c>
      <c r="I75" s="323">
        <f t="shared" si="34"/>
        <v>0</v>
      </c>
      <c r="J75" s="315"/>
      <c r="K75" s="315"/>
      <c r="L75" s="315"/>
      <c r="M75" s="315"/>
      <c r="N75" s="250"/>
      <c r="O75" s="250"/>
      <c r="P75" s="250"/>
      <c r="Q75" s="250"/>
      <c r="R75" s="250"/>
      <c r="S75" s="250"/>
      <c r="T75" s="250"/>
      <c r="U75" s="250"/>
      <c r="V75" s="250"/>
      <c r="W75" s="250"/>
      <c r="X75" s="250"/>
      <c r="Y75" s="250"/>
      <c r="Z75" s="250"/>
      <c r="AA75" s="250"/>
      <c r="AB75" s="250"/>
      <c r="AC75" s="250"/>
      <c r="AD75" s="250"/>
      <c r="AE75" s="250"/>
      <c r="AF75" s="250"/>
      <c r="AG75" s="250"/>
      <c r="AH75" s="250"/>
    </row>
    <row r="76" spans="1:34" x14ac:dyDescent="0.25">
      <c r="A76" s="250"/>
      <c r="B76" s="317">
        <f t="shared" si="30"/>
        <v>-7.0171148509357311</v>
      </c>
      <c r="C76" s="317">
        <f t="shared" si="30"/>
        <v>-7.0171148509357311</v>
      </c>
      <c r="D76" s="317">
        <f t="shared" si="30"/>
        <v>0</v>
      </c>
      <c r="E76" s="317">
        <f t="shared" si="31"/>
        <v>0</v>
      </c>
      <c r="F76" s="317">
        <f t="shared" si="32"/>
        <v>-10</v>
      </c>
      <c r="G76" s="317">
        <f t="shared" si="35"/>
        <v>0</v>
      </c>
      <c r="H76" s="332">
        <f t="shared" si="33"/>
        <v>0</v>
      </c>
      <c r="I76" s="323">
        <f t="shared" si="34"/>
        <v>0</v>
      </c>
      <c r="J76" s="315"/>
      <c r="K76" s="315"/>
      <c r="L76" s="315"/>
      <c r="M76" s="315"/>
      <c r="N76" s="250"/>
      <c r="O76" s="250"/>
      <c r="P76" s="250"/>
      <c r="Q76" s="250"/>
      <c r="R76" s="250"/>
      <c r="S76" s="250"/>
      <c r="T76" s="250"/>
      <c r="U76" s="250"/>
      <c r="V76" s="250"/>
      <c r="W76" s="250"/>
      <c r="X76" s="250"/>
      <c r="Y76" s="250"/>
      <c r="Z76" s="250"/>
      <c r="AA76" s="250"/>
      <c r="AB76" s="250"/>
      <c r="AC76" s="250"/>
      <c r="AD76" s="250"/>
      <c r="AE76" s="250"/>
      <c r="AF76" s="250"/>
      <c r="AG76" s="250"/>
      <c r="AH76" s="250"/>
    </row>
    <row r="77" spans="1:34" x14ac:dyDescent="0.25">
      <c r="A77" s="250"/>
      <c r="B77" s="317">
        <f t="shared" si="30"/>
        <v>-7.0171148509357311</v>
      </c>
      <c r="C77" s="317">
        <f t="shared" si="30"/>
        <v>-7.0171148509357311</v>
      </c>
      <c r="D77" s="317">
        <f t="shared" si="30"/>
        <v>0</v>
      </c>
      <c r="E77" s="317">
        <f t="shared" si="31"/>
        <v>0</v>
      </c>
      <c r="F77" s="317">
        <f t="shared" si="32"/>
        <v>-10</v>
      </c>
      <c r="G77" s="317">
        <f t="shared" si="35"/>
        <v>0</v>
      </c>
      <c r="H77" s="332">
        <f t="shared" si="33"/>
        <v>0</v>
      </c>
      <c r="I77" s="323">
        <f t="shared" si="34"/>
        <v>0</v>
      </c>
      <c r="J77" s="315"/>
      <c r="K77" s="315"/>
      <c r="L77" s="315"/>
      <c r="M77" s="315"/>
      <c r="N77" s="250"/>
      <c r="O77" s="250"/>
      <c r="P77" s="250"/>
      <c r="Q77" s="250"/>
      <c r="R77" s="250"/>
      <c r="S77" s="250"/>
      <c r="T77" s="250"/>
      <c r="U77" s="250"/>
      <c r="V77" s="250"/>
      <c r="W77" s="250"/>
      <c r="X77" s="250"/>
      <c r="Y77" s="250"/>
      <c r="Z77" s="250"/>
      <c r="AA77" s="250"/>
      <c r="AB77" s="250"/>
      <c r="AC77" s="250"/>
      <c r="AD77" s="250"/>
      <c r="AE77" s="250"/>
      <c r="AF77" s="250"/>
      <c r="AG77" s="250"/>
      <c r="AH77" s="250"/>
    </row>
    <row r="78" spans="1:34" ht="15.75" thickBot="1" x14ac:dyDescent="0.3">
      <c r="A78" s="250"/>
      <c r="B78" s="315"/>
      <c r="C78" s="315"/>
      <c r="D78" s="315"/>
      <c r="E78" s="315"/>
      <c r="F78" s="315"/>
      <c r="G78" s="315"/>
      <c r="H78" s="324"/>
      <c r="I78" s="325"/>
      <c r="J78" s="315"/>
      <c r="K78" s="315"/>
      <c r="L78" s="315"/>
      <c r="M78" s="315"/>
      <c r="N78" s="250"/>
      <c r="O78" s="250"/>
      <c r="P78" s="250"/>
      <c r="Q78" s="250"/>
      <c r="R78" s="250"/>
      <c r="S78" s="250"/>
      <c r="T78" s="250"/>
      <c r="U78" s="250"/>
      <c r="V78" s="250"/>
      <c r="W78" s="250"/>
      <c r="X78" s="250"/>
      <c r="Y78" s="250"/>
      <c r="Z78" s="250"/>
      <c r="AA78" s="250"/>
      <c r="AB78" s="250"/>
      <c r="AC78" s="250"/>
      <c r="AD78" s="250"/>
      <c r="AE78" s="250"/>
      <c r="AF78" s="250"/>
      <c r="AG78" s="250"/>
      <c r="AH78" s="250"/>
    </row>
    <row r="79" spans="1:34" x14ac:dyDescent="0.25">
      <c r="A79" s="250"/>
      <c r="B79" s="315"/>
      <c r="C79" s="315"/>
      <c r="D79" s="315"/>
      <c r="E79" s="315"/>
      <c r="F79" s="315"/>
      <c r="G79" s="315"/>
      <c r="H79" s="331">
        <f>SUM(H67:H77)</f>
        <v>83.128418823105676</v>
      </c>
      <c r="I79" s="321">
        <f>SUM(I67:I77)</f>
        <v>14.94467239666101</v>
      </c>
      <c r="J79" s="315"/>
      <c r="K79" s="315"/>
      <c r="L79" s="315"/>
      <c r="M79" s="315"/>
      <c r="N79" s="250"/>
      <c r="O79" s="250"/>
      <c r="P79" s="250"/>
      <c r="Q79" s="250"/>
      <c r="R79" s="250"/>
      <c r="S79" s="250"/>
      <c r="T79" s="250"/>
      <c r="U79" s="250"/>
      <c r="V79" s="250"/>
      <c r="W79" s="250"/>
      <c r="X79" s="250"/>
      <c r="Y79" s="250"/>
      <c r="Z79" s="250"/>
      <c r="AA79" s="250"/>
      <c r="AB79" s="250"/>
      <c r="AC79" s="250"/>
      <c r="AD79" s="250"/>
      <c r="AE79" s="250"/>
      <c r="AF79" s="250"/>
      <c r="AG79" s="250"/>
      <c r="AH79" s="250"/>
    </row>
    <row r="80" spans="1:34" ht="15.75" thickBot="1" x14ac:dyDescent="0.3">
      <c r="A80" s="250"/>
      <c r="B80" s="315"/>
      <c r="C80" s="315"/>
      <c r="D80" s="315"/>
      <c r="E80" s="315"/>
      <c r="F80" s="315"/>
      <c r="G80" s="315"/>
      <c r="H80" s="333" t="s">
        <v>229</v>
      </c>
      <c r="I80" s="329">
        <f>H79/I79</f>
        <v>5.5624115816468827</v>
      </c>
      <c r="J80" s="315"/>
      <c r="K80" s="315"/>
      <c r="L80" s="315"/>
      <c r="M80" s="315"/>
      <c r="N80" s="250"/>
      <c r="O80" s="250"/>
      <c r="P80" s="250"/>
      <c r="Q80" s="250"/>
      <c r="R80" s="250"/>
      <c r="S80" s="250"/>
      <c r="T80" s="250"/>
      <c r="U80" s="250"/>
      <c r="V80" s="250"/>
      <c r="W80" s="250"/>
      <c r="X80" s="250"/>
      <c r="Y80" s="250"/>
      <c r="Z80" s="250"/>
      <c r="AA80" s="250"/>
      <c r="AB80" s="250"/>
      <c r="AC80" s="250"/>
      <c r="AD80" s="250"/>
      <c r="AE80" s="250"/>
      <c r="AF80" s="250"/>
      <c r="AG80" s="250"/>
      <c r="AH80" s="250"/>
    </row>
    <row r="81" spans="1:34" x14ac:dyDescent="0.25">
      <c r="A81" s="250"/>
      <c r="B81" s="315"/>
      <c r="C81" s="315"/>
      <c r="D81" s="315"/>
      <c r="E81" s="315"/>
      <c r="F81" s="315"/>
      <c r="G81" s="315"/>
      <c r="H81" s="315"/>
      <c r="I81" s="315"/>
      <c r="J81" s="315"/>
      <c r="K81" s="315"/>
      <c r="L81" s="315"/>
      <c r="M81" s="315"/>
      <c r="N81" s="250"/>
      <c r="O81" s="250"/>
      <c r="P81" s="250"/>
      <c r="Q81" s="250"/>
      <c r="R81" s="250"/>
      <c r="S81" s="250"/>
      <c r="T81" s="250"/>
      <c r="U81" s="250"/>
      <c r="V81" s="250"/>
      <c r="W81" s="250"/>
      <c r="X81" s="250"/>
      <c r="Y81" s="250"/>
      <c r="Z81" s="250"/>
      <c r="AA81" s="250"/>
      <c r="AB81" s="250"/>
      <c r="AC81" s="250"/>
      <c r="AD81" s="250"/>
      <c r="AE81" s="250"/>
      <c r="AF81" s="250"/>
      <c r="AG81" s="250"/>
      <c r="AH81" s="250"/>
    </row>
    <row r="82" spans="1:34" x14ac:dyDescent="0.25">
      <c r="A82" s="250"/>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row>
    <row r="83" spans="1:34" x14ac:dyDescent="0.25">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row>
    <row r="84" spans="1:34" x14ac:dyDescent="0.25">
      <c r="A84" s="250"/>
      <c r="B84" s="334" t="s">
        <v>230</v>
      </c>
      <c r="C84" s="335"/>
      <c r="D84" s="335"/>
      <c r="E84" s="335"/>
      <c r="F84" s="335"/>
      <c r="G84" s="335"/>
      <c r="H84" s="335"/>
      <c r="I84" s="335"/>
      <c r="J84" s="335"/>
      <c r="K84" s="335"/>
      <c r="L84" s="335"/>
      <c r="M84" s="335"/>
      <c r="N84" s="250"/>
      <c r="O84" s="250"/>
      <c r="P84" s="250"/>
      <c r="Q84" s="250"/>
      <c r="R84" s="250"/>
      <c r="S84" s="250"/>
      <c r="T84" s="250"/>
      <c r="U84" s="250"/>
      <c r="V84" s="250"/>
      <c r="W84" s="250"/>
      <c r="X84" s="250"/>
      <c r="Y84" s="250"/>
      <c r="Z84" s="250"/>
      <c r="AA84" s="250"/>
      <c r="AB84" s="250"/>
      <c r="AC84" s="250"/>
      <c r="AD84" s="250"/>
      <c r="AE84" s="250"/>
      <c r="AF84" s="250"/>
      <c r="AG84" s="250"/>
      <c r="AH84" s="250"/>
    </row>
    <row r="85" spans="1:34" x14ac:dyDescent="0.25">
      <c r="A85" s="250"/>
      <c r="B85" s="336" t="s">
        <v>220</v>
      </c>
      <c r="C85" s="335"/>
      <c r="D85" s="337">
        <f>'Invoer 5 - Draagvermogen'!T21</f>
        <v>-8.9038349137932578</v>
      </c>
      <c r="E85" s="335"/>
      <c r="F85" s="335"/>
      <c r="G85" s="335"/>
      <c r="H85" s="335"/>
      <c r="I85" s="335"/>
      <c r="J85" s="335"/>
      <c r="K85" s="335"/>
      <c r="L85" s="335"/>
      <c r="M85" s="335"/>
      <c r="N85" s="250"/>
      <c r="O85" s="250"/>
      <c r="P85" s="250"/>
      <c r="Q85" s="250"/>
      <c r="R85" s="250"/>
      <c r="S85" s="250"/>
      <c r="T85" s="250"/>
      <c r="U85" s="250"/>
      <c r="V85" s="250"/>
      <c r="W85" s="250"/>
      <c r="X85" s="250"/>
      <c r="Y85" s="250"/>
      <c r="Z85" s="250"/>
      <c r="AA85" s="250"/>
      <c r="AB85" s="250"/>
      <c r="AC85" s="250"/>
      <c r="AD85" s="250"/>
      <c r="AE85" s="250"/>
      <c r="AF85" s="250"/>
      <c r="AG85" s="250"/>
      <c r="AH85" s="250"/>
    </row>
    <row r="86" spans="1:34" ht="15.75" thickBot="1" x14ac:dyDescent="0.3">
      <c r="A86" s="250"/>
      <c r="B86" s="335"/>
      <c r="C86" s="335"/>
      <c r="D86" s="336" t="s">
        <v>221</v>
      </c>
      <c r="E86" s="336" t="s">
        <v>222</v>
      </c>
      <c r="F86" s="336" t="s">
        <v>231</v>
      </c>
      <c r="G86" s="335"/>
      <c r="H86" s="335"/>
      <c r="I86" s="336"/>
      <c r="J86" s="336"/>
      <c r="K86" s="336"/>
      <c r="L86" s="336"/>
      <c r="M86" s="336"/>
      <c r="N86" s="253"/>
      <c r="O86" s="253"/>
      <c r="P86" s="253"/>
      <c r="Q86" s="253"/>
      <c r="R86" s="253"/>
      <c r="S86" s="253"/>
      <c r="T86" s="253"/>
      <c r="U86" s="253"/>
      <c r="V86" s="253"/>
      <c r="W86" s="253"/>
      <c r="X86" s="253"/>
      <c r="Y86" s="253"/>
      <c r="Z86" s="253"/>
      <c r="AA86" s="351"/>
      <c r="AB86" s="352"/>
      <c r="AC86" s="351" t="s">
        <v>231</v>
      </c>
      <c r="AD86" s="351" t="s">
        <v>232</v>
      </c>
      <c r="AE86" s="351" t="s">
        <v>95</v>
      </c>
      <c r="AF86" s="351" t="s">
        <v>233</v>
      </c>
      <c r="AG86" s="250"/>
      <c r="AH86" s="250"/>
    </row>
    <row r="87" spans="1:34" x14ac:dyDescent="0.25">
      <c r="A87" s="250"/>
      <c r="B87" s="337">
        <f>AA87</f>
        <v>-3.5</v>
      </c>
      <c r="C87" s="337">
        <f t="shared" ref="C87:C93" si="36">IF(AB87&gt;$D$85,AB87,$D$85)</f>
        <v>-6.5</v>
      </c>
      <c r="D87" s="337">
        <f>IF(B87-C87&gt;0,B87-C87,0)</f>
        <v>3</v>
      </c>
      <c r="E87" s="337">
        <f t="shared" ref="E87:E93" si="37">AVERAGE(B87:C87)-$D$85</f>
        <v>3.9038349137932578</v>
      </c>
      <c r="F87" s="337">
        <f>AC87</f>
        <v>15</v>
      </c>
      <c r="G87" s="338">
        <f t="shared" ref="G87:G93" si="38">D87*E87*F87</f>
        <v>175.6725711206966</v>
      </c>
      <c r="H87" s="339">
        <f t="shared" ref="H87:H93" si="39">D87*E87</f>
        <v>11.711504741379773</v>
      </c>
      <c r="I87" s="336"/>
      <c r="J87" s="336"/>
      <c r="K87" s="336"/>
      <c r="L87" s="336"/>
      <c r="M87" s="336"/>
      <c r="N87" s="253"/>
      <c r="O87" s="253"/>
      <c r="P87" s="253"/>
      <c r="Q87" s="253"/>
      <c r="R87" s="253"/>
      <c r="S87" s="253"/>
      <c r="T87" s="253"/>
      <c r="U87" s="253"/>
      <c r="V87" s="253"/>
      <c r="W87" s="253"/>
      <c r="X87" s="253"/>
      <c r="Y87" s="253"/>
      <c r="Z87" s="253"/>
      <c r="AA87" s="353">
        <f>VLOOKUP(AD1,B10:C20,1,FALSE)</f>
        <v>-3.5</v>
      </c>
      <c r="AB87" s="352">
        <f>VLOOKUP(AA87,$B$10:$C$20,2,FALSE)</f>
        <v>-6.5</v>
      </c>
      <c r="AC87" s="354">
        <f t="shared" ref="AC87:AC94" si="40">IF(AB87=0,0,VLOOKUP(AA87,B10:O20,10,0))</f>
        <v>15</v>
      </c>
      <c r="AD87" s="352">
        <f t="shared" ref="AD87:AD94" si="41">IF(AB87=0,0,VLOOKUP(AA87,B10:O20,11,0))</f>
        <v>2.5</v>
      </c>
      <c r="AE87" s="355">
        <f t="shared" ref="AE87:AE94" si="42">VLOOKUP(AA87,$B$27:$G$37,6,FALSE)</f>
        <v>10</v>
      </c>
      <c r="AF87" s="355">
        <f>VLOOKUP(AA87,$B$27:$G$37,6,FALSE)</f>
        <v>10</v>
      </c>
      <c r="AG87" s="250"/>
      <c r="AH87" s="250"/>
    </row>
    <row r="88" spans="1:34" x14ac:dyDescent="0.25">
      <c r="A88" s="250"/>
      <c r="B88" s="337">
        <f t="shared" ref="B88:B93" si="43">C87</f>
        <v>-6.5</v>
      </c>
      <c r="C88" s="337">
        <f t="shared" si="36"/>
        <v>-8.9038349137932578</v>
      </c>
      <c r="D88" s="337">
        <f t="shared" ref="D88:D93" si="44">IF(B88-C88&gt;0,B88-C88,0)</f>
        <v>2.4038349137932578</v>
      </c>
      <c r="E88" s="337">
        <f t="shared" si="37"/>
        <v>1.2019174568966289</v>
      </c>
      <c r="F88" s="337">
        <f t="shared" ref="F88:F93" si="45">AC88</f>
        <v>20</v>
      </c>
      <c r="G88" s="340">
        <f t="shared" si="38"/>
        <v>57.784222927714389</v>
      </c>
      <c r="H88" s="341">
        <f t="shared" si="39"/>
        <v>2.8892111463857195</v>
      </c>
      <c r="I88" s="336"/>
      <c r="J88" s="336"/>
      <c r="K88" s="336"/>
      <c r="L88" s="336"/>
      <c r="M88" s="336"/>
      <c r="N88" s="253"/>
      <c r="O88" s="253"/>
      <c r="P88" s="253"/>
      <c r="Q88" s="253"/>
      <c r="R88" s="253"/>
      <c r="S88" s="253"/>
      <c r="T88" s="253"/>
      <c r="U88" s="253"/>
      <c r="V88" s="253"/>
      <c r="W88" s="253"/>
      <c r="X88" s="253"/>
      <c r="Y88" s="253"/>
      <c r="Z88" s="253"/>
      <c r="AA88" s="351">
        <f t="shared" ref="AA88:AA94" si="46">AB87</f>
        <v>-6.5</v>
      </c>
      <c r="AB88" s="352">
        <f t="shared" ref="AB88:AB94" si="47">IF(AB87=0,0,VLOOKUP(AA88,$B$10:$C$20,2,FALSE))</f>
        <v>-9</v>
      </c>
      <c r="AC88" s="354">
        <f t="shared" si="40"/>
        <v>20</v>
      </c>
      <c r="AD88" s="352">
        <f t="shared" si="41"/>
        <v>2.5</v>
      </c>
      <c r="AE88" s="355">
        <f t="shared" si="42"/>
        <v>10.909090909090908</v>
      </c>
      <c r="AF88" s="355">
        <f t="shared" ref="AF88:AF94" si="48">VLOOKUP(AA88,$B$27:$G$37,6,FALSE)</f>
        <v>10.909090909090908</v>
      </c>
      <c r="AG88" s="250"/>
      <c r="AH88" s="250"/>
    </row>
    <row r="89" spans="1:34" x14ac:dyDescent="0.25">
      <c r="A89" s="250"/>
      <c r="B89" s="337">
        <f t="shared" si="43"/>
        <v>-8.9038349137932578</v>
      </c>
      <c r="C89" s="337">
        <f t="shared" si="36"/>
        <v>-8.9038349137932578</v>
      </c>
      <c r="D89" s="337">
        <f t="shared" si="44"/>
        <v>0</v>
      </c>
      <c r="E89" s="337">
        <f t="shared" si="37"/>
        <v>0</v>
      </c>
      <c r="F89" s="337">
        <f t="shared" si="45"/>
        <v>15</v>
      </c>
      <c r="G89" s="340">
        <f t="shared" si="38"/>
        <v>0</v>
      </c>
      <c r="H89" s="341">
        <f t="shared" si="39"/>
        <v>0</v>
      </c>
      <c r="I89" s="336"/>
      <c r="J89" s="336"/>
      <c r="K89" s="336"/>
      <c r="L89" s="336"/>
      <c r="M89" s="336"/>
      <c r="N89" s="253"/>
      <c r="O89" s="253"/>
      <c r="P89" s="253"/>
      <c r="Q89" s="253"/>
      <c r="R89" s="253"/>
      <c r="S89" s="253"/>
      <c r="T89" s="253"/>
      <c r="U89" s="253"/>
      <c r="V89" s="253"/>
      <c r="W89" s="253"/>
      <c r="X89" s="253"/>
      <c r="Y89" s="253"/>
      <c r="Z89" s="253"/>
      <c r="AA89" s="351">
        <f t="shared" si="46"/>
        <v>-9</v>
      </c>
      <c r="AB89" s="352">
        <f t="shared" si="47"/>
        <v>-9.5</v>
      </c>
      <c r="AC89" s="354">
        <f t="shared" si="40"/>
        <v>15</v>
      </c>
      <c r="AD89" s="352">
        <f t="shared" si="41"/>
        <v>5</v>
      </c>
      <c r="AE89" s="355">
        <f t="shared" si="42"/>
        <v>18.18181818181818</v>
      </c>
      <c r="AF89" s="355">
        <f t="shared" si="48"/>
        <v>18.18181818181818</v>
      </c>
      <c r="AG89" s="250"/>
      <c r="AH89" s="250"/>
    </row>
    <row r="90" spans="1:34" x14ac:dyDescent="0.25">
      <c r="A90" s="250"/>
      <c r="B90" s="337">
        <f t="shared" si="43"/>
        <v>-8.9038349137932578</v>
      </c>
      <c r="C90" s="337">
        <f t="shared" si="36"/>
        <v>-8.9038349137932578</v>
      </c>
      <c r="D90" s="337">
        <f t="shared" si="44"/>
        <v>0</v>
      </c>
      <c r="E90" s="337">
        <f t="shared" si="37"/>
        <v>0</v>
      </c>
      <c r="F90" s="337">
        <f t="shared" si="45"/>
        <v>30</v>
      </c>
      <c r="G90" s="340">
        <f t="shared" si="38"/>
        <v>0</v>
      </c>
      <c r="H90" s="341">
        <f t="shared" si="39"/>
        <v>0</v>
      </c>
      <c r="I90" s="336"/>
      <c r="J90" s="336"/>
      <c r="K90" s="336"/>
      <c r="L90" s="336"/>
      <c r="M90" s="336"/>
      <c r="N90" s="253"/>
      <c r="O90" s="253"/>
      <c r="P90" s="253"/>
      <c r="Q90" s="253"/>
      <c r="R90" s="253"/>
      <c r="S90" s="253"/>
      <c r="T90" s="253"/>
      <c r="U90" s="253"/>
      <c r="V90" s="253"/>
      <c r="W90" s="253"/>
      <c r="X90" s="253"/>
      <c r="Y90" s="253"/>
      <c r="Z90" s="253"/>
      <c r="AA90" s="351">
        <f t="shared" si="46"/>
        <v>-9.5</v>
      </c>
      <c r="AB90" s="352">
        <f t="shared" si="47"/>
        <v>-15</v>
      </c>
      <c r="AC90" s="354">
        <f t="shared" si="40"/>
        <v>30</v>
      </c>
      <c r="AD90" s="352">
        <f t="shared" si="41"/>
        <v>0</v>
      </c>
      <c r="AE90" s="355">
        <f t="shared" si="42"/>
        <v>15.454545454545453</v>
      </c>
      <c r="AF90" s="355">
        <f t="shared" si="48"/>
        <v>15.454545454545453</v>
      </c>
      <c r="AG90" s="250"/>
      <c r="AH90" s="250"/>
    </row>
    <row r="91" spans="1:34" x14ac:dyDescent="0.25">
      <c r="A91" s="250"/>
      <c r="B91" s="337">
        <f t="shared" si="43"/>
        <v>-8.9038349137932578</v>
      </c>
      <c r="C91" s="337">
        <f t="shared" si="36"/>
        <v>-8.9038349137932578</v>
      </c>
      <c r="D91" s="337">
        <f t="shared" si="44"/>
        <v>0</v>
      </c>
      <c r="E91" s="337">
        <f t="shared" si="37"/>
        <v>0</v>
      </c>
      <c r="F91" s="337">
        <f t="shared" si="45"/>
        <v>30</v>
      </c>
      <c r="G91" s="340">
        <f t="shared" si="38"/>
        <v>0</v>
      </c>
      <c r="H91" s="341">
        <f t="shared" si="39"/>
        <v>0</v>
      </c>
      <c r="I91" s="336"/>
      <c r="J91" s="336"/>
      <c r="K91" s="336"/>
      <c r="L91" s="336"/>
      <c r="M91" s="336"/>
      <c r="N91" s="253"/>
      <c r="O91" s="253"/>
      <c r="P91" s="253"/>
      <c r="Q91" s="253"/>
      <c r="R91" s="253"/>
      <c r="S91" s="253"/>
      <c r="T91" s="253"/>
      <c r="U91" s="253"/>
      <c r="V91" s="253"/>
      <c r="W91" s="253"/>
      <c r="X91" s="253"/>
      <c r="Y91" s="253"/>
      <c r="Z91" s="253"/>
      <c r="AA91" s="351">
        <f t="shared" si="46"/>
        <v>-15</v>
      </c>
      <c r="AB91" s="352">
        <f t="shared" si="47"/>
        <v>-15</v>
      </c>
      <c r="AC91" s="354">
        <f t="shared" si="40"/>
        <v>30</v>
      </c>
      <c r="AD91" s="352">
        <f t="shared" si="41"/>
        <v>0</v>
      </c>
      <c r="AE91" s="355">
        <f t="shared" si="42"/>
        <v>15.454545454545453</v>
      </c>
      <c r="AF91" s="355">
        <f t="shared" si="48"/>
        <v>15.454545454545453</v>
      </c>
      <c r="AG91" s="250"/>
      <c r="AH91" s="250"/>
    </row>
    <row r="92" spans="1:34" x14ac:dyDescent="0.25">
      <c r="A92" s="250"/>
      <c r="B92" s="337">
        <f t="shared" si="43"/>
        <v>-8.9038349137932578</v>
      </c>
      <c r="C92" s="337">
        <f t="shared" si="36"/>
        <v>-8.9038349137932578</v>
      </c>
      <c r="D92" s="337">
        <f t="shared" si="44"/>
        <v>0</v>
      </c>
      <c r="E92" s="337">
        <f t="shared" si="37"/>
        <v>0</v>
      </c>
      <c r="F92" s="337">
        <f t="shared" si="45"/>
        <v>30</v>
      </c>
      <c r="G92" s="340">
        <f t="shared" si="38"/>
        <v>0</v>
      </c>
      <c r="H92" s="341">
        <f t="shared" si="39"/>
        <v>0</v>
      </c>
      <c r="I92" s="336"/>
      <c r="J92" s="336"/>
      <c r="K92" s="336"/>
      <c r="L92" s="336"/>
      <c r="M92" s="336"/>
      <c r="N92" s="253"/>
      <c r="O92" s="253"/>
      <c r="P92" s="253"/>
      <c r="Q92" s="253"/>
      <c r="R92" s="253"/>
      <c r="S92" s="253"/>
      <c r="T92" s="253"/>
      <c r="U92" s="253"/>
      <c r="V92" s="253"/>
      <c r="W92" s="253"/>
      <c r="X92" s="253"/>
      <c r="Y92" s="253"/>
      <c r="Z92" s="253"/>
      <c r="AA92" s="351">
        <f t="shared" si="46"/>
        <v>-15</v>
      </c>
      <c r="AB92" s="352">
        <f t="shared" si="47"/>
        <v>-15</v>
      </c>
      <c r="AC92" s="354">
        <f t="shared" si="40"/>
        <v>30</v>
      </c>
      <c r="AD92" s="352">
        <f t="shared" si="41"/>
        <v>0</v>
      </c>
      <c r="AE92" s="355">
        <f t="shared" si="42"/>
        <v>15.454545454545453</v>
      </c>
      <c r="AF92" s="355">
        <f t="shared" si="48"/>
        <v>15.454545454545453</v>
      </c>
      <c r="AG92" s="250"/>
      <c r="AH92" s="250"/>
    </row>
    <row r="93" spans="1:34" x14ac:dyDescent="0.25">
      <c r="A93" s="250"/>
      <c r="B93" s="337">
        <f t="shared" si="43"/>
        <v>-8.9038349137932578</v>
      </c>
      <c r="C93" s="337">
        <f t="shared" si="36"/>
        <v>-8.9038349137932578</v>
      </c>
      <c r="D93" s="337">
        <f t="shared" si="44"/>
        <v>0</v>
      </c>
      <c r="E93" s="337">
        <f t="shared" si="37"/>
        <v>0</v>
      </c>
      <c r="F93" s="337">
        <f t="shared" si="45"/>
        <v>30</v>
      </c>
      <c r="G93" s="340">
        <f t="shared" si="38"/>
        <v>0</v>
      </c>
      <c r="H93" s="341">
        <f t="shared" si="39"/>
        <v>0</v>
      </c>
      <c r="I93" s="336"/>
      <c r="J93" s="336"/>
      <c r="K93" s="336"/>
      <c r="L93" s="336"/>
      <c r="M93" s="336"/>
      <c r="N93" s="253"/>
      <c r="O93" s="253"/>
      <c r="P93" s="253"/>
      <c r="Q93" s="253"/>
      <c r="R93" s="253"/>
      <c r="S93" s="253"/>
      <c r="T93" s="253"/>
      <c r="U93" s="253"/>
      <c r="V93" s="253"/>
      <c r="W93" s="253"/>
      <c r="X93" s="253"/>
      <c r="Y93" s="253"/>
      <c r="Z93" s="253"/>
      <c r="AA93" s="351">
        <f t="shared" si="46"/>
        <v>-15</v>
      </c>
      <c r="AB93" s="352">
        <f t="shared" si="47"/>
        <v>-15</v>
      </c>
      <c r="AC93" s="354">
        <f t="shared" si="40"/>
        <v>30</v>
      </c>
      <c r="AD93" s="352">
        <f t="shared" si="41"/>
        <v>0</v>
      </c>
      <c r="AE93" s="355">
        <f t="shared" si="42"/>
        <v>15.454545454545453</v>
      </c>
      <c r="AF93" s="355">
        <f t="shared" si="48"/>
        <v>15.454545454545453</v>
      </c>
      <c r="AG93" s="250"/>
      <c r="AH93" s="250"/>
    </row>
    <row r="94" spans="1:34" ht="15.75" thickBot="1" x14ac:dyDescent="0.3">
      <c r="A94" s="250"/>
      <c r="B94" s="335"/>
      <c r="C94" s="335"/>
      <c r="D94" s="335"/>
      <c r="E94" s="335"/>
      <c r="F94" s="335"/>
      <c r="G94" s="342"/>
      <c r="H94" s="343"/>
      <c r="I94" s="336"/>
      <c r="J94" s="336"/>
      <c r="K94" s="336"/>
      <c r="L94" s="336"/>
      <c r="M94" s="336"/>
      <c r="N94" s="253"/>
      <c r="O94" s="253"/>
      <c r="P94" s="253"/>
      <c r="Q94" s="253"/>
      <c r="R94" s="253"/>
      <c r="S94" s="253"/>
      <c r="T94" s="253"/>
      <c r="U94" s="253"/>
      <c r="V94" s="253"/>
      <c r="W94" s="253"/>
      <c r="X94" s="253"/>
      <c r="Y94" s="253"/>
      <c r="Z94" s="253"/>
      <c r="AA94" s="351">
        <f t="shared" si="46"/>
        <v>-15</v>
      </c>
      <c r="AB94" s="352">
        <f t="shared" si="47"/>
        <v>-15</v>
      </c>
      <c r="AC94" s="354">
        <f t="shared" si="40"/>
        <v>30</v>
      </c>
      <c r="AD94" s="352">
        <f t="shared" si="41"/>
        <v>0</v>
      </c>
      <c r="AE94" s="355">
        <f t="shared" si="42"/>
        <v>15.454545454545453</v>
      </c>
      <c r="AF94" s="355">
        <f t="shared" si="48"/>
        <v>15.454545454545453</v>
      </c>
      <c r="AG94" s="250"/>
      <c r="AH94" s="250"/>
    </row>
    <row r="95" spans="1:34" x14ac:dyDescent="0.25">
      <c r="A95" s="250"/>
      <c r="B95" s="335"/>
      <c r="C95" s="335"/>
      <c r="D95" s="335"/>
      <c r="E95" s="335"/>
      <c r="F95" s="335"/>
      <c r="G95" s="338">
        <f>SUM(G87:G93)</f>
        <v>233.45679404841098</v>
      </c>
      <c r="H95" s="339">
        <f>SUM(H87:H93)</f>
        <v>14.600715887765492</v>
      </c>
      <c r="I95" s="336"/>
      <c r="J95" s="336"/>
      <c r="K95" s="336"/>
      <c r="L95" s="336"/>
      <c r="M95" s="336"/>
      <c r="N95" s="253"/>
      <c r="O95" s="253"/>
      <c r="P95" s="253"/>
      <c r="Q95" s="253"/>
      <c r="R95" s="253"/>
      <c r="S95" s="253"/>
      <c r="T95" s="253"/>
      <c r="U95" s="253"/>
      <c r="V95" s="253"/>
      <c r="W95" s="253"/>
      <c r="X95" s="253"/>
      <c r="Y95" s="253"/>
      <c r="Z95" s="253"/>
      <c r="AA95" s="253"/>
      <c r="AB95" s="250"/>
      <c r="AC95" s="250"/>
      <c r="AD95" s="250"/>
      <c r="AE95" s="250"/>
      <c r="AF95" s="250"/>
      <c r="AG95" s="250"/>
      <c r="AH95" s="250"/>
    </row>
    <row r="96" spans="1:34" ht="15.75" x14ac:dyDescent="0.3">
      <c r="A96" s="250"/>
      <c r="B96" s="335"/>
      <c r="C96" s="335"/>
      <c r="D96" s="335"/>
      <c r="E96" s="335"/>
      <c r="F96" s="335"/>
      <c r="G96" s="344" t="s">
        <v>223</v>
      </c>
      <c r="H96" s="345">
        <f>G95/H95</f>
        <v>15.989407358034651</v>
      </c>
      <c r="I96" s="336"/>
      <c r="J96" s="336"/>
      <c r="K96" s="336"/>
      <c r="L96" s="336"/>
      <c r="M96" s="336"/>
      <c r="N96" s="253"/>
      <c r="O96" s="253"/>
      <c r="P96" s="253"/>
      <c r="Q96" s="253"/>
      <c r="R96" s="253"/>
      <c r="S96" s="253"/>
      <c r="T96" s="253"/>
      <c r="U96" s="253"/>
      <c r="V96" s="253"/>
      <c r="W96" s="253"/>
      <c r="X96" s="253"/>
      <c r="Y96" s="253"/>
      <c r="Z96" s="253"/>
      <c r="AA96" s="253"/>
      <c r="AB96" s="250"/>
      <c r="AC96" s="250"/>
      <c r="AD96" s="250"/>
      <c r="AE96" s="250"/>
      <c r="AF96" s="250"/>
      <c r="AG96" s="250"/>
      <c r="AH96" s="250"/>
    </row>
    <row r="97" spans="1:34" ht="16.5" thickBot="1" x14ac:dyDescent="0.35">
      <c r="A97" s="250"/>
      <c r="B97" s="335"/>
      <c r="C97" s="335"/>
      <c r="D97" s="335"/>
      <c r="E97" s="335"/>
      <c r="F97" s="335"/>
      <c r="G97" s="346" t="s">
        <v>225</v>
      </c>
      <c r="H97" s="347">
        <f>ATAN(TAN(H96*(PI()/180))/K26)/(PI()/180)</f>
        <v>13.991468119450474</v>
      </c>
      <c r="I97" s="336"/>
      <c r="J97" s="336"/>
      <c r="K97" s="336"/>
      <c r="L97" s="336"/>
      <c r="M97" s="336"/>
      <c r="N97" s="253"/>
      <c r="O97" s="253"/>
      <c r="P97" s="253"/>
      <c r="Q97" s="253"/>
      <c r="R97" s="253"/>
      <c r="S97" s="253"/>
      <c r="T97" s="253"/>
      <c r="U97" s="253"/>
      <c r="V97" s="253"/>
      <c r="W97" s="253"/>
      <c r="X97" s="253"/>
      <c r="Y97" s="253"/>
      <c r="Z97" s="253"/>
      <c r="AA97" s="253"/>
      <c r="AB97" s="250"/>
      <c r="AC97" s="250"/>
      <c r="AD97" s="250"/>
      <c r="AE97" s="250"/>
      <c r="AF97" s="250"/>
      <c r="AG97" s="250"/>
      <c r="AH97" s="250"/>
    </row>
    <row r="98" spans="1:34" x14ac:dyDescent="0.25">
      <c r="A98" s="250"/>
      <c r="B98" s="335"/>
      <c r="C98" s="335"/>
      <c r="D98" s="335"/>
      <c r="E98" s="335"/>
      <c r="F98" s="335"/>
      <c r="G98" s="335"/>
      <c r="H98" s="335"/>
      <c r="I98" s="336"/>
      <c r="J98" s="336"/>
      <c r="K98" s="336"/>
      <c r="L98" s="336"/>
      <c r="M98" s="336"/>
      <c r="N98" s="253"/>
      <c r="O98" s="253"/>
      <c r="P98" s="253"/>
      <c r="Q98" s="253"/>
      <c r="R98" s="253"/>
      <c r="S98" s="253"/>
      <c r="T98" s="253"/>
      <c r="U98" s="253"/>
      <c r="V98" s="253"/>
      <c r="W98" s="253"/>
      <c r="X98" s="253"/>
      <c r="Y98" s="253"/>
      <c r="Z98" s="253"/>
      <c r="AA98" s="253"/>
      <c r="AB98" s="250"/>
      <c r="AC98" s="250"/>
      <c r="AD98" s="250"/>
      <c r="AE98" s="250"/>
      <c r="AF98" s="250"/>
      <c r="AG98" s="250"/>
      <c r="AH98" s="250"/>
    </row>
    <row r="99" spans="1:34" x14ac:dyDescent="0.25">
      <c r="A99" s="250"/>
      <c r="B99" s="336" t="s">
        <v>234</v>
      </c>
      <c r="C99" s="335"/>
      <c r="D99" s="335"/>
      <c r="E99" s="335"/>
      <c r="F99" s="335"/>
      <c r="G99" s="335"/>
      <c r="H99" s="335"/>
      <c r="I99" s="336"/>
      <c r="J99" s="336"/>
      <c r="K99" s="336"/>
      <c r="L99" s="336"/>
      <c r="M99" s="336"/>
      <c r="N99" s="253"/>
      <c r="O99" s="253"/>
      <c r="P99" s="253"/>
      <c r="Q99" s="253"/>
      <c r="R99" s="253"/>
      <c r="S99" s="253"/>
      <c r="T99" s="253"/>
      <c r="U99" s="253"/>
      <c r="V99" s="253"/>
      <c r="W99" s="253"/>
      <c r="X99" s="253"/>
      <c r="Y99" s="253"/>
      <c r="Z99" s="253"/>
      <c r="AA99" s="253"/>
      <c r="AB99" s="250"/>
      <c r="AC99" s="250"/>
      <c r="AD99" s="250"/>
      <c r="AE99" s="250"/>
      <c r="AF99" s="250"/>
      <c r="AG99" s="250"/>
      <c r="AH99" s="250"/>
    </row>
    <row r="100" spans="1:34" ht="15.75" thickBot="1" x14ac:dyDescent="0.3">
      <c r="A100" s="250"/>
      <c r="B100" s="336" t="s">
        <v>235</v>
      </c>
      <c r="C100" s="336" t="s">
        <v>236</v>
      </c>
      <c r="D100" s="335"/>
      <c r="E100" s="335"/>
      <c r="F100" s="335"/>
      <c r="G100" s="335"/>
      <c r="H100" s="335"/>
      <c r="I100" s="336"/>
      <c r="J100" s="336"/>
      <c r="K100" s="336"/>
      <c r="L100" s="336"/>
      <c r="M100" s="336"/>
      <c r="N100" s="253"/>
      <c r="O100" s="253"/>
      <c r="P100" s="253"/>
      <c r="Q100" s="253"/>
      <c r="R100" s="253"/>
      <c r="S100" s="253"/>
      <c r="T100" s="253"/>
      <c r="U100" s="253"/>
      <c r="V100" s="253"/>
      <c r="W100" s="253"/>
      <c r="X100" s="253"/>
      <c r="Y100" s="253"/>
      <c r="Z100" s="253"/>
      <c r="AA100" s="253"/>
      <c r="AB100" s="250"/>
      <c r="AC100" s="250"/>
      <c r="AD100" s="250"/>
      <c r="AE100" s="250"/>
      <c r="AF100" s="250"/>
      <c r="AG100" s="250"/>
      <c r="AH100" s="250"/>
    </row>
    <row r="101" spans="1:34" x14ac:dyDescent="0.25">
      <c r="A101" s="250"/>
      <c r="B101" s="337">
        <f>IF(B87-$C$3&lt;0,0,B87-$C$3)</f>
        <v>0</v>
      </c>
      <c r="C101" s="337">
        <f>D87-B101</f>
        <v>3</v>
      </c>
      <c r="D101" s="348">
        <f t="shared" ref="D101:D107" si="49">AE87</f>
        <v>10</v>
      </c>
      <c r="E101" s="348">
        <f>AF87-10</f>
        <v>0</v>
      </c>
      <c r="F101" s="348">
        <f>IF(D87=0,0,(B101*D101+C101*E101)/D87)</f>
        <v>0</v>
      </c>
      <c r="G101" s="338">
        <f>D87*E87*F101</f>
        <v>0</v>
      </c>
      <c r="H101" s="339">
        <f>D87*E87</f>
        <v>11.711504741379773</v>
      </c>
      <c r="I101" s="336"/>
      <c r="J101" s="336"/>
      <c r="K101" s="336"/>
      <c r="L101" s="336"/>
      <c r="M101" s="336"/>
      <c r="N101" s="253"/>
      <c r="O101" s="253"/>
      <c r="P101" s="253"/>
      <c r="Q101" s="253"/>
      <c r="R101" s="253"/>
      <c r="S101" s="253"/>
      <c r="T101" s="253"/>
      <c r="U101" s="253"/>
      <c r="V101" s="253"/>
      <c r="W101" s="253"/>
      <c r="X101" s="253"/>
      <c r="Y101" s="253"/>
      <c r="Z101" s="253"/>
      <c r="AA101" s="253"/>
      <c r="AB101" s="250"/>
      <c r="AC101" s="250"/>
      <c r="AD101" s="250"/>
      <c r="AE101" s="250"/>
      <c r="AF101" s="250"/>
      <c r="AG101" s="250"/>
      <c r="AH101" s="250"/>
    </row>
    <row r="102" spans="1:34" x14ac:dyDescent="0.25">
      <c r="A102" s="250"/>
      <c r="B102" s="337">
        <f t="shared" ref="B102:B107" si="50">IF(B88-$C$3&lt;0,0,B88-$C$3)</f>
        <v>0</v>
      </c>
      <c r="C102" s="337">
        <f t="shared" ref="C102:C107" si="51">D88-B102</f>
        <v>2.4038349137932578</v>
      </c>
      <c r="D102" s="348">
        <f t="shared" si="49"/>
        <v>10.909090909090908</v>
      </c>
      <c r="E102" s="348">
        <f t="shared" ref="E102:E107" si="52">AF88-10</f>
        <v>0.90909090909090828</v>
      </c>
      <c r="F102" s="348">
        <f t="shared" ref="F102:F107" si="53">IF(D88=0,0,(B102*D102+C102*E102)/D88)</f>
        <v>0.90909090909090828</v>
      </c>
      <c r="G102" s="340">
        <f t="shared" ref="G102:G107" si="54">D88*E88*F102</f>
        <v>2.626555587623379</v>
      </c>
      <c r="H102" s="341">
        <f t="shared" ref="H102:H107" si="55">D88*E88</f>
        <v>2.8892111463857195</v>
      </c>
      <c r="I102" s="336"/>
      <c r="J102" s="336"/>
      <c r="K102" s="336"/>
      <c r="L102" s="336"/>
      <c r="M102" s="336"/>
      <c r="N102" s="253"/>
      <c r="O102" s="253"/>
      <c r="P102" s="253"/>
      <c r="Q102" s="253"/>
      <c r="R102" s="253"/>
      <c r="S102" s="253"/>
      <c r="T102" s="253"/>
      <c r="U102" s="253"/>
      <c r="V102" s="253"/>
      <c r="W102" s="253"/>
      <c r="X102" s="253"/>
      <c r="Y102" s="253"/>
      <c r="Z102" s="253"/>
      <c r="AA102" s="253"/>
      <c r="AB102" s="250"/>
      <c r="AC102" s="250"/>
      <c r="AD102" s="250"/>
      <c r="AE102" s="250"/>
      <c r="AF102" s="250"/>
      <c r="AG102" s="250"/>
      <c r="AH102" s="250"/>
    </row>
    <row r="103" spans="1:34" x14ac:dyDescent="0.25">
      <c r="A103" s="250"/>
      <c r="B103" s="337">
        <f t="shared" si="50"/>
        <v>0</v>
      </c>
      <c r="C103" s="337">
        <f t="shared" si="51"/>
        <v>0</v>
      </c>
      <c r="D103" s="348">
        <f t="shared" si="49"/>
        <v>18.18181818181818</v>
      </c>
      <c r="E103" s="348">
        <f t="shared" si="52"/>
        <v>8.1818181818181799</v>
      </c>
      <c r="F103" s="348">
        <f t="shared" si="53"/>
        <v>0</v>
      </c>
      <c r="G103" s="340">
        <f t="shared" si="54"/>
        <v>0</v>
      </c>
      <c r="H103" s="341">
        <f t="shared" si="55"/>
        <v>0</v>
      </c>
      <c r="I103" s="336"/>
      <c r="J103" s="336"/>
      <c r="K103" s="336"/>
      <c r="L103" s="336"/>
      <c r="M103" s="336"/>
      <c r="N103" s="253"/>
      <c r="O103" s="253"/>
      <c r="P103" s="253"/>
      <c r="Q103" s="253"/>
      <c r="R103" s="253"/>
      <c r="S103" s="253"/>
      <c r="T103" s="253"/>
      <c r="U103" s="253"/>
      <c r="V103" s="253"/>
      <c r="W103" s="253"/>
      <c r="X103" s="253"/>
      <c r="Y103" s="253"/>
      <c r="Z103" s="253"/>
      <c r="AA103" s="253"/>
      <c r="AB103" s="250"/>
      <c r="AC103" s="250"/>
      <c r="AD103" s="250"/>
      <c r="AE103" s="250"/>
      <c r="AF103" s="250"/>
      <c r="AG103" s="250"/>
      <c r="AH103" s="250"/>
    </row>
    <row r="104" spans="1:34" x14ac:dyDescent="0.25">
      <c r="A104" s="250"/>
      <c r="B104" s="337">
        <f t="shared" si="50"/>
        <v>0</v>
      </c>
      <c r="C104" s="337">
        <f t="shared" si="51"/>
        <v>0</v>
      </c>
      <c r="D104" s="348">
        <f t="shared" si="49"/>
        <v>15.454545454545453</v>
      </c>
      <c r="E104" s="348">
        <f t="shared" si="52"/>
        <v>5.4545454545454533</v>
      </c>
      <c r="F104" s="348">
        <f t="shared" si="53"/>
        <v>0</v>
      </c>
      <c r="G104" s="340">
        <f t="shared" si="54"/>
        <v>0</v>
      </c>
      <c r="H104" s="341">
        <f t="shared" si="55"/>
        <v>0</v>
      </c>
      <c r="I104" s="336"/>
      <c r="J104" s="336"/>
      <c r="K104" s="336"/>
      <c r="L104" s="336"/>
      <c r="M104" s="336"/>
      <c r="N104" s="253"/>
      <c r="O104" s="253"/>
      <c r="P104" s="253"/>
      <c r="Q104" s="253"/>
      <c r="R104" s="253"/>
      <c r="S104" s="253"/>
      <c r="T104" s="253"/>
      <c r="U104" s="253"/>
      <c r="V104" s="253"/>
      <c r="W104" s="253"/>
      <c r="X104" s="253"/>
      <c r="Y104" s="253"/>
      <c r="Z104" s="253"/>
      <c r="AA104" s="253"/>
      <c r="AB104" s="250"/>
      <c r="AC104" s="250"/>
      <c r="AD104" s="250"/>
      <c r="AE104" s="250"/>
      <c r="AF104" s="250"/>
      <c r="AG104" s="250"/>
      <c r="AH104" s="250"/>
    </row>
    <row r="105" spans="1:34" x14ac:dyDescent="0.25">
      <c r="A105" s="250"/>
      <c r="B105" s="337">
        <f t="shared" si="50"/>
        <v>0</v>
      </c>
      <c r="C105" s="337">
        <f t="shared" si="51"/>
        <v>0</v>
      </c>
      <c r="D105" s="348">
        <f t="shared" si="49"/>
        <v>15.454545454545453</v>
      </c>
      <c r="E105" s="348">
        <f t="shared" si="52"/>
        <v>5.4545454545454533</v>
      </c>
      <c r="F105" s="348">
        <f t="shared" si="53"/>
        <v>0</v>
      </c>
      <c r="G105" s="340">
        <f t="shared" si="54"/>
        <v>0</v>
      </c>
      <c r="H105" s="341">
        <f t="shared" si="55"/>
        <v>0</v>
      </c>
      <c r="I105" s="336"/>
      <c r="J105" s="336"/>
      <c r="K105" s="336"/>
      <c r="L105" s="336"/>
      <c r="M105" s="336"/>
      <c r="N105" s="253"/>
      <c r="O105" s="253"/>
      <c r="P105" s="253"/>
      <c r="Q105" s="253"/>
      <c r="R105" s="253"/>
      <c r="S105" s="253"/>
      <c r="T105" s="253"/>
      <c r="U105" s="253"/>
      <c r="V105" s="253"/>
      <c r="W105" s="253"/>
      <c r="X105" s="253"/>
      <c r="Y105" s="253"/>
      <c r="Z105" s="253"/>
      <c r="AA105" s="253"/>
      <c r="AB105" s="250"/>
      <c r="AC105" s="250"/>
      <c r="AD105" s="250"/>
      <c r="AE105" s="250"/>
      <c r="AF105" s="250"/>
      <c r="AG105" s="250"/>
      <c r="AH105" s="250"/>
    </row>
    <row r="106" spans="1:34" x14ac:dyDescent="0.25">
      <c r="A106" s="250"/>
      <c r="B106" s="337">
        <f t="shared" si="50"/>
        <v>0</v>
      </c>
      <c r="C106" s="337">
        <f t="shared" si="51"/>
        <v>0</v>
      </c>
      <c r="D106" s="348">
        <f t="shared" si="49"/>
        <v>15.454545454545453</v>
      </c>
      <c r="E106" s="348">
        <f t="shared" si="52"/>
        <v>5.4545454545454533</v>
      </c>
      <c r="F106" s="348">
        <f t="shared" si="53"/>
        <v>0</v>
      </c>
      <c r="G106" s="340">
        <f t="shared" si="54"/>
        <v>0</v>
      </c>
      <c r="H106" s="341">
        <f t="shared" si="55"/>
        <v>0</v>
      </c>
      <c r="I106" s="336"/>
      <c r="J106" s="336"/>
      <c r="K106" s="336"/>
      <c r="L106" s="336"/>
      <c r="M106" s="336"/>
      <c r="N106" s="253"/>
      <c r="O106" s="253"/>
      <c r="P106" s="253"/>
      <c r="Q106" s="253"/>
      <c r="R106" s="253"/>
      <c r="S106" s="253"/>
      <c r="T106" s="253"/>
      <c r="U106" s="253"/>
      <c r="V106" s="253"/>
      <c r="W106" s="253"/>
      <c r="X106" s="253"/>
      <c r="Y106" s="253"/>
      <c r="Z106" s="253"/>
      <c r="AA106" s="253"/>
      <c r="AB106" s="250"/>
      <c r="AC106" s="250"/>
      <c r="AD106" s="250"/>
      <c r="AE106" s="250"/>
      <c r="AF106" s="250"/>
      <c r="AG106" s="250"/>
      <c r="AH106" s="250"/>
    </row>
    <row r="107" spans="1:34" x14ac:dyDescent="0.25">
      <c r="A107" s="250"/>
      <c r="B107" s="337">
        <f t="shared" si="50"/>
        <v>0</v>
      </c>
      <c r="C107" s="337">
        <f t="shared" si="51"/>
        <v>0</v>
      </c>
      <c r="D107" s="348">
        <f t="shared" si="49"/>
        <v>15.454545454545453</v>
      </c>
      <c r="E107" s="348">
        <f t="shared" si="52"/>
        <v>5.4545454545454533</v>
      </c>
      <c r="F107" s="348">
        <f t="shared" si="53"/>
        <v>0</v>
      </c>
      <c r="G107" s="340">
        <f t="shared" si="54"/>
        <v>0</v>
      </c>
      <c r="H107" s="341">
        <f t="shared" si="55"/>
        <v>0</v>
      </c>
      <c r="I107" s="336"/>
      <c r="J107" s="336"/>
      <c r="K107" s="336"/>
      <c r="L107" s="336"/>
      <c r="M107" s="336"/>
      <c r="N107" s="253"/>
      <c r="O107" s="253"/>
      <c r="P107" s="253"/>
      <c r="Q107" s="253"/>
      <c r="R107" s="253"/>
      <c r="S107" s="253"/>
      <c r="T107" s="253"/>
      <c r="U107" s="253"/>
      <c r="V107" s="253"/>
      <c r="W107" s="253"/>
      <c r="X107" s="253"/>
      <c r="Y107" s="253"/>
      <c r="Z107" s="253"/>
      <c r="AA107" s="253"/>
      <c r="AB107" s="250"/>
      <c r="AC107" s="250"/>
      <c r="AD107" s="250"/>
      <c r="AE107" s="250"/>
      <c r="AF107" s="250"/>
      <c r="AG107" s="250"/>
      <c r="AH107" s="250"/>
    </row>
    <row r="108" spans="1:34" ht="15.75" thickBot="1" x14ac:dyDescent="0.3">
      <c r="A108" s="250"/>
      <c r="B108" s="335"/>
      <c r="C108" s="335"/>
      <c r="D108" s="335"/>
      <c r="E108" s="335"/>
      <c r="F108" s="335"/>
      <c r="G108" s="349"/>
      <c r="H108" s="350"/>
      <c r="I108" s="336"/>
      <c r="J108" s="336"/>
      <c r="K108" s="336"/>
      <c r="L108" s="336"/>
      <c r="M108" s="336"/>
      <c r="N108" s="253"/>
      <c r="O108" s="253"/>
      <c r="P108" s="253"/>
      <c r="Q108" s="253"/>
      <c r="R108" s="253"/>
      <c r="S108" s="253"/>
      <c r="T108" s="253"/>
      <c r="U108" s="253"/>
      <c r="V108" s="253"/>
      <c r="W108" s="253"/>
      <c r="X108" s="253"/>
      <c r="Y108" s="253"/>
      <c r="Z108" s="253"/>
      <c r="AA108" s="253"/>
      <c r="AB108" s="250"/>
      <c r="AC108" s="250"/>
      <c r="AD108" s="250"/>
      <c r="AE108" s="250"/>
      <c r="AF108" s="250"/>
      <c r="AG108" s="250"/>
      <c r="AH108" s="250"/>
    </row>
    <row r="109" spans="1:34" x14ac:dyDescent="0.25">
      <c r="A109" s="250"/>
      <c r="B109" s="335"/>
      <c r="C109" s="335"/>
      <c r="D109" s="335"/>
      <c r="E109" s="335"/>
      <c r="F109" s="335"/>
      <c r="G109" s="338">
        <f>SUM(G101:G107)</f>
        <v>2.626555587623379</v>
      </c>
      <c r="H109" s="339">
        <f>SUM(H101:H107)</f>
        <v>14.600715887765492</v>
      </c>
      <c r="I109" s="336"/>
      <c r="J109" s="336"/>
      <c r="K109" s="336"/>
      <c r="L109" s="336"/>
      <c r="M109" s="336"/>
      <c r="N109" s="253"/>
      <c r="O109" s="253"/>
      <c r="P109" s="253"/>
      <c r="Q109" s="253"/>
      <c r="R109" s="253"/>
      <c r="S109" s="253"/>
      <c r="T109" s="253"/>
      <c r="U109" s="253"/>
      <c r="V109" s="253"/>
      <c r="W109" s="253"/>
      <c r="X109" s="253"/>
      <c r="Y109" s="253"/>
      <c r="Z109" s="253"/>
      <c r="AA109" s="253"/>
      <c r="AB109" s="250"/>
      <c r="AC109" s="250"/>
      <c r="AD109" s="250"/>
      <c r="AE109" s="250"/>
      <c r="AF109" s="250"/>
      <c r="AG109" s="250"/>
      <c r="AH109" s="250"/>
    </row>
    <row r="110" spans="1:34" ht="15.75" thickBot="1" x14ac:dyDescent="0.3">
      <c r="A110" s="250"/>
      <c r="B110" s="335"/>
      <c r="C110" s="335"/>
      <c r="D110" s="335"/>
      <c r="E110" s="335"/>
      <c r="F110" s="335"/>
      <c r="G110" s="346" t="s">
        <v>229</v>
      </c>
      <c r="H110" s="347">
        <f>G109/H109</f>
        <v>0.17989224691539077</v>
      </c>
      <c r="I110" s="336"/>
      <c r="J110" s="336"/>
      <c r="K110" s="336"/>
      <c r="L110" s="336"/>
      <c r="M110" s="336"/>
      <c r="N110" s="253"/>
      <c r="O110" s="253"/>
      <c r="P110" s="253"/>
      <c r="Q110" s="253"/>
      <c r="R110" s="253"/>
      <c r="S110" s="253"/>
      <c r="T110" s="253"/>
      <c r="U110" s="253"/>
      <c r="V110" s="253"/>
      <c r="W110" s="253"/>
      <c r="X110" s="253"/>
      <c r="Y110" s="253"/>
      <c r="Z110" s="253"/>
      <c r="AA110" s="253"/>
      <c r="AB110" s="250"/>
      <c r="AC110" s="250"/>
      <c r="AD110" s="250"/>
      <c r="AE110" s="250"/>
      <c r="AF110" s="250"/>
      <c r="AG110" s="250"/>
      <c r="AH110" s="250"/>
    </row>
    <row r="111" spans="1:34" x14ac:dyDescent="0.25">
      <c r="A111" s="250"/>
      <c r="B111" s="335"/>
      <c r="C111" s="335"/>
      <c r="D111" s="335"/>
      <c r="E111" s="335"/>
      <c r="F111" s="335"/>
      <c r="G111" s="335"/>
      <c r="H111" s="335"/>
      <c r="I111" s="336"/>
      <c r="J111" s="336"/>
      <c r="K111" s="336"/>
      <c r="L111" s="336"/>
      <c r="M111" s="336"/>
      <c r="N111" s="253"/>
      <c r="O111" s="253"/>
      <c r="P111" s="253"/>
      <c r="Q111" s="253"/>
      <c r="R111" s="253"/>
      <c r="S111" s="253"/>
      <c r="T111" s="253"/>
      <c r="U111" s="253"/>
      <c r="V111" s="253"/>
      <c r="W111" s="253"/>
      <c r="X111" s="253"/>
      <c r="Y111" s="253"/>
      <c r="Z111" s="253"/>
      <c r="AA111" s="253"/>
      <c r="AB111" s="250"/>
      <c r="AC111" s="250"/>
      <c r="AD111" s="250"/>
      <c r="AE111" s="250"/>
      <c r="AF111" s="250"/>
      <c r="AG111" s="250"/>
      <c r="AH111" s="250"/>
    </row>
    <row r="112" spans="1:34" x14ac:dyDescent="0.25">
      <c r="A112" s="250"/>
      <c r="B112" s="335"/>
      <c r="C112" s="335"/>
      <c r="D112" s="335"/>
      <c r="E112" s="335"/>
      <c r="F112" s="335"/>
      <c r="G112" s="335"/>
      <c r="H112" s="335"/>
      <c r="I112" s="336"/>
      <c r="J112" s="336"/>
      <c r="K112" s="336"/>
      <c r="L112" s="336"/>
      <c r="M112" s="336"/>
      <c r="N112" s="253"/>
      <c r="O112" s="253"/>
      <c r="P112" s="253"/>
      <c r="Q112" s="253"/>
      <c r="R112" s="253"/>
      <c r="S112" s="253"/>
      <c r="T112" s="253"/>
      <c r="U112" s="253"/>
      <c r="V112" s="253"/>
      <c r="W112" s="253"/>
      <c r="X112" s="253"/>
      <c r="Y112" s="253"/>
      <c r="Z112" s="253"/>
      <c r="AA112" s="253"/>
      <c r="AB112" s="250"/>
      <c r="AC112" s="250"/>
      <c r="AD112" s="250"/>
      <c r="AE112" s="250"/>
      <c r="AF112" s="250"/>
      <c r="AG112" s="250"/>
      <c r="AH112" s="250"/>
    </row>
    <row r="113" spans="1:34" x14ac:dyDescent="0.25">
      <c r="A113" s="250"/>
      <c r="B113" s="336" t="s">
        <v>237</v>
      </c>
      <c r="C113" s="335"/>
      <c r="D113" s="335"/>
      <c r="E113" s="335"/>
      <c r="F113" s="335"/>
      <c r="G113" s="335"/>
      <c r="H113" s="335"/>
      <c r="I113" s="336"/>
      <c r="J113" s="336"/>
      <c r="K113" s="336"/>
      <c r="L113" s="336"/>
      <c r="M113" s="336"/>
      <c r="N113" s="253"/>
      <c r="O113" s="253"/>
      <c r="P113" s="253"/>
      <c r="Q113" s="253"/>
      <c r="R113" s="253"/>
      <c r="S113" s="253"/>
      <c r="T113" s="253"/>
      <c r="U113" s="253"/>
      <c r="V113" s="253"/>
      <c r="W113" s="253"/>
      <c r="X113" s="253"/>
      <c r="Y113" s="253"/>
      <c r="Z113" s="253"/>
      <c r="AA113" s="253"/>
      <c r="AB113" s="250"/>
      <c r="AC113" s="250"/>
      <c r="AD113" s="250"/>
      <c r="AE113" s="250"/>
      <c r="AF113" s="250"/>
      <c r="AG113" s="250"/>
      <c r="AH113" s="250"/>
    </row>
    <row r="114" spans="1:34" x14ac:dyDescent="0.25">
      <c r="A114" s="250"/>
      <c r="B114" s="335"/>
      <c r="C114" s="335"/>
      <c r="D114" s="335"/>
      <c r="E114" s="335"/>
      <c r="F114" s="335"/>
      <c r="G114" s="337">
        <f t="shared" ref="G114:G120" si="56">D87*E87*AD87</f>
        <v>29.278761853449431</v>
      </c>
      <c r="H114" s="337">
        <f>D87*E87</f>
        <v>11.711504741379773</v>
      </c>
      <c r="I114" s="336"/>
      <c r="J114" s="336"/>
      <c r="K114" s="336"/>
      <c r="L114" s="336"/>
      <c r="M114" s="336"/>
      <c r="N114" s="253"/>
      <c r="O114" s="253"/>
      <c r="P114" s="253"/>
      <c r="Q114" s="253"/>
      <c r="R114" s="253"/>
      <c r="S114" s="253"/>
      <c r="T114" s="253"/>
      <c r="U114" s="253"/>
      <c r="V114" s="253"/>
      <c r="W114" s="253"/>
      <c r="X114" s="253"/>
      <c r="Y114" s="253"/>
      <c r="Z114" s="253"/>
      <c r="AA114" s="253"/>
      <c r="AB114" s="250"/>
      <c r="AC114" s="250"/>
      <c r="AD114" s="250"/>
      <c r="AE114" s="250"/>
      <c r="AF114" s="250"/>
      <c r="AG114" s="250"/>
      <c r="AH114" s="250"/>
    </row>
    <row r="115" spans="1:34" x14ac:dyDescent="0.25">
      <c r="A115" s="250"/>
      <c r="B115" s="335"/>
      <c r="C115" s="335"/>
      <c r="D115" s="335"/>
      <c r="E115" s="335"/>
      <c r="F115" s="335"/>
      <c r="G115" s="337">
        <f t="shared" si="56"/>
        <v>7.2230278659642986</v>
      </c>
      <c r="H115" s="337">
        <f t="shared" ref="H115:H120" si="57">D88*E88</f>
        <v>2.8892111463857195</v>
      </c>
      <c r="I115" s="336"/>
      <c r="J115" s="336"/>
      <c r="K115" s="336"/>
      <c r="L115" s="336"/>
      <c r="M115" s="336"/>
      <c r="N115" s="253"/>
      <c r="O115" s="253"/>
      <c r="P115" s="253"/>
      <c r="Q115" s="253"/>
      <c r="R115" s="253"/>
      <c r="S115" s="253"/>
      <c r="T115" s="253"/>
      <c r="U115" s="253"/>
      <c r="V115" s="253"/>
      <c r="W115" s="253"/>
      <c r="X115" s="253"/>
      <c r="Y115" s="253"/>
      <c r="Z115" s="253"/>
      <c r="AA115" s="253"/>
      <c r="AB115" s="250"/>
      <c r="AC115" s="250"/>
      <c r="AD115" s="250"/>
      <c r="AE115" s="250"/>
      <c r="AF115" s="250"/>
      <c r="AG115" s="250"/>
      <c r="AH115" s="250"/>
    </row>
    <row r="116" spans="1:34" x14ac:dyDescent="0.25">
      <c r="A116" s="250"/>
      <c r="B116" s="335"/>
      <c r="C116" s="335"/>
      <c r="D116" s="335"/>
      <c r="E116" s="335"/>
      <c r="F116" s="335"/>
      <c r="G116" s="337">
        <f t="shared" si="56"/>
        <v>0</v>
      </c>
      <c r="H116" s="337">
        <f t="shared" si="57"/>
        <v>0</v>
      </c>
      <c r="I116" s="336"/>
      <c r="J116" s="336"/>
      <c r="K116" s="336"/>
      <c r="L116" s="336"/>
      <c r="M116" s="336"/>
      <c r="N116" s="253"/>
      <c r="O116" s="253"/>
      <c r="P116" s="253"/>
      <c r="Q116" s="253"/>
      <c r="R116" s="253"/>
      <c r="S116" s="253"/>
      <c r="T116" s="253"/>
      <c r="U116" s="253"/>
      <c r="V116" s="253"/>
      <c r="W116" s="253"/>
      <c r="X116" s="253"/>
      <c r="Y116" s="253"/>
      <c r="Z116" s="253"/>
      <c r="AA116" s="253"/>
      <c r="AB116" s="250"/>
      <c r="AC116" s="250"/>
      <c r="AD116" s="250"/>
      <c r="AE116" s="250"/>
      <c r="AF116" s="250"/>
      <c r="AG116" s="250"/>
      <c r="AH116" s="250"/>
    </row>
    <row r="117" spans="1:34" x14ac:dyDescent="0.25">
      <c r="A117" s="250"/>
      <c r="B117" s="335"/>
      <c r="C117" s="335"/>
      <c r="D117" s="335"/>
      <c r="E117" s="335"/>
      <c r="F117" s="335"/>
      <c r="G117" s="337">
        <f t="shared" si="56"/>
        <v>0</v>
      </c>
      <c r="H117" s="337">
        <f t="shared" si="57"/>
        <v>0</v>
      </c>
      <c r="I117" s="336"/>
      <c r="J117" s="336"/>
      <c r="K117" s="336"/>
      <c r="L117" s="336"/>
      <c r="M117" s="336"/>
      <c r="N117" s="253"/>
      <c r="O117" s="253"/>
      <c r="P117" s="253"/>
      <c r="Q117" s="253"/>
      <c r="R117" s="253"/>
      <c r="S117" s="253"/>
      <c r="T117" s="253"/>
      <c r="U117" s="253"/>
      <c r="V117" s="253"/>
      <c r="W117" s="253"/>
      <c r="X117" s="253"/>
      <c r="Y117" s="253"/>
      <c r="Z117" s="253"/>
      <c r="AA117" s="253"/>
      <c r="AB117" s="250"/>
      <c r="AC117" s="250"/>
      <c r="AD117" s="250"/>
      <c r="AE117" s="250"/>
      <c r="AF117" s="250"/>
      <c r="AG117" s="250"/>
      <c r="AH117" s="250"/>
    </row>
    <row r="118" spans="1:34" x14ac:dyDescent="0.25">
      <c r="A118" s="250"/>
      <c r="B118" s="335"/>
      <c r="C118" s="335"/>
      <c r="D118" s="335"/>
      <c r="E118" s="335"/>
      <c r="F118" s="335"/>
      <c r="G118" s="337">
        <f t="shared" si="56"/>
        <v>0</v>
      </c>
      <c r="H118" s="337">
        <f t="shared" si="57"/>
        <v>0</v>
      </c>
      <c r="I118" s="336"/>
      <c r="J118" s="336"/>
      <c r="K118" s="336"/>
      <c r="L118" s="336"/>
      <c r="M118" s="336"/>
      <c r="N118" s="253"/>
      <c r="O118" s="253"/>
      <c r="P118" s="253"/>
      <c r="Q118" s="253"/>
      <c r="R118" s="253"/>
      <c r="S118" s="253"/>
      <c r="T118" s="253"/>
      <c r="U118" s="253"/>
      <c r="V118" s="253"/>
      <c r="W118" s="253"/>
      <c r="X118" s="253"/>
      <c r="Y118" s="253"/>
      <c r="Z118" s="253"/>
      <c r="AA118" s="253"/>
      <c r="AB118" s="250"/>
      <c r="AC118" s="250"/>
      <c r="AD118" s="250"/>
      <c r="AE118" s="250"/>
      <c r="AF118" s="250"/>
      <c r="AG118" s="250"/>
      <c r="AH118" s="250"/>
    </row>
    <row r="119" spans="1:34" x14ac:dyDescent="0.25">
      <c r="A119" s="250"/>
      <c r="B119" s="335"/>
      <c r="C119" s="335"/>
      <c r="D119" s="335"/>
      <c r="E119" s="335"/>
      <c r="F119" s="335"/>
      <c r="G119" s="337">
        <f t="shared" si="56"/>
        <v>0</v>
      </c>
      <c r="H119" s="337">
        <f t="shared" si="57"/>
        <v>0</v>
      </c>
      <c r="I119" s="336"/>
      <c r="J119" s="336"/>
      <c r="K119" s="336"/>
      <c r="L119" s="336"/>
      <c r="M119" s="336"/>
      <c r="N119" s="253"/>
      <c r="O119" s="253"/>
      <c r="P119" s="253"/>
      <c r="Q119" s="253"/>
      <c r="R119" s="253"/>
      <c r="S119" s="253"/>
      <c r="T119" s="253"/>
      <c r="U119" s="253"/>
      <c r="V119" s="253"/>
      <c r="W119" s="253"/>
      <c r="X119" s="253"/>
      <c r="Y119" s="253"/>
      <c r="Z119" s="253"/>
      <c r="AA119" s="253"/>
      <c r="AB119" s="250"/>
      <c r="AC119" s="250"/>
      <c r="AD119" s="250"/>
      <c r="AE119" s="250"/>
      <c r="AF119" s="250"/>
      <c r="AG119" s="250"/>
      <c r="AH119" s="250"/>
    </row>
    <row r="120" spans="1:34" x14ac:dyDescent="0.25">
      <c r="A120" s="250"/>
      <c r="B120" s="335"/>
      <c r="C120" s="335"/>
      <c r="D120" s="335"/>
      <c r="E120" s="335"/>
      <c r="F120" s="335"/>
      <c r="G120" s="337">
        <f t="shared" si="56"/>
        <v>0</v>
      </c>
      <c r="H120" s="337">
        <f t="shared" si="57"/>
        <v>0</v>
      </c>
      <c r="I120" s="336"/>
      <c r="J120" s="336"/>
      <c r="K120" s="336"/>
      <c r="L120" s="336"/>
      <c r="M120" s="336"/>
      <c r="N120" s="253"/>
      <c r="O120" s="253"/>
      <c r="P120" s="253"/>
      <c r="Q120" s="253"/>
      <c r="R120" s="253"/>
      <c r="S120" s="253"/>
      <c r="T120" s="253"/>
      <c r="U120" s="253"/>
      <c r="V120" s="253"/>
      <c r="W120" s="253"/>
      <c r="X120" s="253"/>
      <c r="Y120" s="253"/>
      <c r="Z120" s="253"/>
      <c r="AA120" s="253"/>
      <c r="AB120" s="250"/>
      <c r="AC120" s="250"/>
      <c r="AD120" s="250"/>
      <c r="AE120" s="250"/>
      <c r="AF120" s="250"/>
      <c r="AG120" s="250"/>
      <c r="AH120" s="250"/>
    </row>
    <row r="121" spans="1:34" x14ac:dyDescent="0.25">
      <c r="A121" s="250"/>
      <c r="B121" s="335"/>
      <c r="C121" s="335"/>
      <c r="D121" s="335"/>
      <c r="E121" s="335"/>
      <c r="F121" s="335"/>
      <c r="G121" s="335"/>
      <c r="H121" s="335"/>
      <c r="I121" s="336"/>
      <c r="J121" s="336"/>
      <c r="K121" s="336"/>
      <c r="L121" s="336"/>
      <c r="M121" s="336"/>
      <c r="N121" s="253"/>
      <c r="O121" s="253"/>
      <c r="P121" s="253"/>
      <c r="Q121" s="253"/>
      <c r="R121" s="253"/>
      <c r="S121" s="253"/>
      <c r="T121" s="253"/>
      <c r="U121" s="253"/>
      <c r="V121" s="253"/>
      <c r="W121" s="253"/>
      <c r="X121" s="253"/>
      <c r="Y121" s="253"/>
      <c r="Z121" s="253"/>
      <c r="AA121" s="253"/>
      <c r="AB121" s="250"/>
      <c r="AC121" s="250"/>
      <c r="AD121" s="250"/>
      <c r="AE121" s="250"/>
      <c r="AF121" s="250"/>
      <c r="AG121" s="250"/>
      <c r="AH121" s="250"/>
    </row>
    <row r="122" spans="1:34" x14ac:dyDescent="0.25">
      <c r="A122" s="250"/>
      <c r="B122" s="335"/>
      <c r="C122" s="335"/>
      <c r="D122" s="335"/>
      <c r="E122" s="335"/>
      <c r="F122" s="335"/>
      <c r="G122" s="337">
        <f>SUM(G114:G120)</f>
        <v>36.501789719413729</v>
      </c>
      <c r="H122" s="337">
        <f>SUM(H114:H120)</f>
        <v>14.600715887765492</v>
      </c>
      <c r="I122" s="336"/>
      <c r="J122" s="336"/>
      <c r="K122" s="336"/>
      <c r="L122" s="336"/>
      <c r="M122" s="336"/>
      <c r="N122" s="253"/>
      <c r="O122" s="253"/>
      <c r="P122" s="253"/>
      <c r="Q122" s="253"/>
      <c r="R122" s="253"/>
      <c r="S122" s="253"/>
      <c r="T122" s="253"/>
      <c r="U122" s="253"/>
      <c r="V122" s="253"/>
      <c r="W122" s="253"/>
      <c r="X122" s="253"/>
      <c r="Y122" s="253"/>
      <c r="Z122" s="253"/>
      <c r="AA122" s="253"/>
      <c r="AB122" s="250"/>
      <c r="AC122" s="250"/>
      <c r="AD122" s="250"/>
      <c r="AE122" s="250"/>
      <c r="AF122" s="250"/>
      <c r="AG122" s="250"/>
      <c r="AH122" s="250"/>
    </row>
    <row r="123" spans="1:34" x14ac:dyDescent="0.25">
      <c r="A123" s="250"/>
      <c r="B123" s="335"/>
      <c r="C123" s="335"/>
      <c r="D123" s="335"/>
      <c r="E123" s="335"/>
      <c r="F123" s="335"/>
      <c r="G123" s="336" t="s">
        <v>238</v>
      </c>
      <c r="H123" s="337">
        <f>G122/H122</f>
        <v>2.5</v>
      </c>
      <c r="I123" s="336"/>
      <c r="J123" s="336"/>
      <c r="K123" s="336"/>
      <c r="L123" s="336"/>
      <c r="M123" s="336"/>
      <c r="N123" s="253"/>
      <c r="O123" s="253"/>
      <c r="P123" s="253"/>
      <c r="Q123" s="253"/>
      <c r="R123" s="253"/>
      <c r="S123" s="253"/>
      <c r="T123" s="253"/>
      <c r="U123" s="253"/>
      <c r="V123" s="253"/>
      <c r="W123" s="253"/>
      <c r="X123" s="253"/>
      <c r="Y123" s="253"/>
      <c r="Z123" s="253"/>
      <c r="AA123" s="253"/>
      <c r="AB123" s="250"/>
      <c r="AC123" s="250"/>
      <c r="AD123" s="250"/>
      <c r="AE123" s="250"/>
      <c r="AF123" s="250"/>
      <c r="AG123" s="250"/>
      <c r="AH123" s="250"/>
    </row>
    <row r="124" spans="1:34" x14ac:dyDescent="0.25">
      <c r="A124" s="250"/>
      <c r="B124" s="335"/>
      <c r="C124" s="335"/>
      <c r="D124" s="335"/>
      <c r="E124" s="335"/>
      <c r="F124" s="335"/>
      <c r="G124" s="336" t="s">
        <v>239</v>
      </c>
      <c r="H124" s="337">
        <f>H123/L26</f>
        <v>1.5625</v>
      </c>
      <c r="I124" s="336"/>
      <c r="J124" s="336"/>
      <c r="K124" s="336"/>
      <c r="L124" s="336"/>
      <c r="M124" s="336"/>
      <c r="N124" s="253"/>
      <c r="O124" s="253"/>
      <c r="P124" s="253"/>
      <c r="Q124" s="253"/>
      <c r="R124" s="253"/>
      <c r="S124" s="253"/>
      <c r="T124" s="253"/>
      <c r="U124" s="253"/>
      <c r="V124" s="253"/>
      <c r="W124" s="253"/>
      <c r="X124" s="253"/>
      <c r="Y124" s="253"/>
      <c r="Z124" s="253"/>
      <c r="AA124" s="253"/>
      <c r="AB124" s="250"/>
      <c r="AC124" s="250"/>
      <c r="AD124" s="250"/>
      <c r="AE124" s="250"/>
      <c r="AF124" s="250"/>
      <c r="AG124" s="250"/>
      <c r="AH124" s="250"/>
    </row>
    <row r="125" spans="1:34" x14ac:dyDescent="0.25">
      <c r="A125" s="250"/>
      <c r="B125" s="335"/>
      <c r="C125" s="335"/>
      <c r="D125" s="335"/>
      <c r="E125" s="335"/>
      <c r="F125" s="335"/>
      <c r="G125" s="335"/>
      <c r="H125" s="335"/>
      <c r="I125" s="335"/>
      <c r="J125" s="335"/>
      <c r="K125" s="335"/>
      <c r="L125" s="335"/>
      <c r="M125" s="335"/>
      <c r="N125" s="250"/>
      <c r="O125" s="250"/>
      <c r="P125" s="250"/>
      <c r="Q125" s="250"/>
      <c r="R125" s="250"/>
      <c r="S125" s="250"/>
      <c r="T125" s="250"/>
      <c r="U125" s="250"/>
      <c r="V125" s="250"/>
      <c r="W125" s="250"/>
      <c r="X125" s="250"/>
      <c r="Y125" s="250"/>
      <c r="Z125" s="250"/>
      <c r="AA125" s="250"/>
      <c r="AB125" s="250"/>
      <c r="AC125" s="250"/>
      <c r="AD125" s="250"/>
      <c r="AE125" s="250"/>
      <c r="AF125" s="250"/>
      <c r="AG125" s="250"/>
      <c r="AH125" s="250"/>
    </row>
    <row r="126" spans="1:34" x14ac:dyDescent="0.25">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row>
    <row r="127" spans="1:34" x14ac:dyDescent="0.25">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c r="AD127" s="250"/>
      <c r="AE127" s="250"/>
      <c r="AF127" s="250"/>
      <c r="AG127" s="250"/>
      <c r="AH127" s="250"/>
    </row>
  </sheetData>
  <sheetProtection algorithmName="SHA-512" hashValue="gocF7Vb2dUeVDdlBtRzwBF3w8guwm4mw1FdB+Kuw22J2rdbUbp0FMWKEAvXq0WgC5WNVE181SwWZIZ/fZU2zIg==" saltValue="NTYve2Dwo67jFNwW7kIWPg==" spinCount="100000" sheet="1" objects="1" scenarios="1"/>
  <dataValidations count="2">
    <dataValidation type="list" allowBlank="1" showInputMessage="1" showErrorMessage="1" sqref="E27:E35 E11:E20" xr:uid="{109EA7D9-D986-49DF-9635-7F80CF52B863}">
      <formula1>$AG$10:$AG$16</formula1>
    </dataValidation>
    <dataValidation type="list" allowBlank="1" showInputMessage="1" showErrorMessage="1" sqref="C4" xr:uid="{05E035F0-421B-4FE4-82F5-B924144ECA92}">
      <formula1>$AI$1:$AI$2</formula1>
    </dataValidation>
  </dataValidation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71061-EFAC-44E5-9456-1B403DB550A6}">
  <sheetPr>
    <tabColor rgb="FF0061AD"/>
    <pageSetUpPr fitToPage="1"/>
  </sheetPr>
  <dimension ref="A1:AX54"/>
  <sheetViews>
    <sheetView zoomScale="85" zoomScaleNormal="85" workbookViewId="0">
      <selection activeCell="AA16" sqref="AA16"/>
    </sheetView>
  </sheetViews>
  <sheetFormatPr defaultRowHeight="15" x14ac:dyDescent="0.25"/>
  <cols>
    <col min="1" max="1" width="11.42578125" style="359" customWidth="1"/>
    <col min="2" max="4" width="9.140625" style="359"/>
    <col min="5" max="5" width="9.140625" style="359" customWidth="1"/>
    <col min="6" max="16384" width="9.140625" style="359"/>
  </cols>
  <sheetData>
    <row r="1" spans="1:50" ht="15.75" thickBot="1" x14ac:dyDescent="0.3">
      <c r="A1" s="356" t="s">
        <v>241</v>
      </c>
      <c r="B1" s="357"/>
      <c r="C1" s="357"/>
      <c r="D1" s="358"/>
      <c r="E1" s="356" t="s">
        <v>242</v>
      </c>
      <c r="F1" s="357"/>
      <c r="G1" s="357"/>
      <c r="H1" s="357"/>
      <c r="I1" s="357"/>
      <c r="J1" s="358"/>
      <c r="K1" s="356" t="s">
        <v>248</v>
      </c>
      <c r="L1" s="357"/>
      <c r="M1" s="357"/>
      <c r="N1" s="357"/>
      <c r="O1" s="357"/>
      <c r="P1" s="358"/>
      <c r="Q1" s="356" t="s">
        <v>211</v>
      </c>
      <c r="R1" s="357"/>
      <c r="S1" s="357"/>
      <c r="T1" s="357"/>
      <c r="U1" s="357"/>
      <c r="V1" s="358"/>
    </row>
    <row r="2" spans="1:50" ht="18" x14ac:dyDescent="0.35">
      <c r="A2" s="360" t="s">
        <v>243</v>
      </c>
      <c r="B2" s="393">
        <f>'Overzicht rekenresultaten'!E6</f>
        <v>1217.25</v>
      </c>
      <c r="C2" s="361" t="s">
        <v>12</v>
      </c>
      <c r="D2" s="362"/>
      <c r="E2" s="360" t="s">
        <v>209</v>
      </c>
      <c r="F2" s="361"/>
      <c r="G2" s="361"/>
      <c r="H2" s="397">
        <f>'Invoer 4 - Grondeigenschappen'!C2</f>
        <v>-1.55</v>
      </c>
      <c r="I2" s="361" t="s">
        <v>240</v>
      </c>
      <c r="J2" s="362"/>
      <c r="K2" s="360" t="s">
        <v>209</v>
      </c>
      <c r="L2" s="361"/>
      <c r="M2" s="361"/>
      <c r="N2" s="397">
        <f>'Invoer 4 - Grondeigenschappen'!C2</f>
        <v>-1.55</v>
      </c>
      <c r="O2" s="361" t="s">
        <v>240</v>
      </c>
      <c r="P2" s="362"/>
      <c r="Q2" s="360" t="s">
        <v>209</v>
      </c>
      <c r="R2" s="361"/>
      <c r="S2" s="361"/>
      <c r="T2" s="397">
        <f>'Invoer 4 - Grondeigenschappen'!C2</f>
        <v>-1.55</v>
      </c>
      <c r="U2" s="361" t="s">
        <v>240</v>
      </c>
      <c r="V2" s="362"/>
      <c r="AT2" s="250"/>
      <c r="AU2" s="250" t="s">
        <v>249</v>
      </c>
      <c r="AV2" s="250"/>
      <c r="AW2" s="250"/>
      <c r="AX2" s="250" t="s">
        <v>250</v>
      </c>
    </row>
    <row r="3" spans="1:50" ht="18" x14ac:dyDescent="0.35">
      <c r="A3" s="360" t="s">
        <v>244</v>
      </c>
      <c r="B3" s="393">
        <f>'Overzicht rekenresultaten'!E7</f>
        <v>21.594369906302585</v>
      </c>
      <c r="C3" s="361" t="s">
        <v>12</v>
      </c>
      <c r="D3" s="362"/>
      <c r="E3" s="360" t="s">
        <v>281</v>
      </c>
      <c r="F3" s="361"/>
      <c r="G3" s="361"/>
      <c r="H3" s="397">
        <f>'Invoer 4 - Grondeigenschappen'!B10</f>
        <v>-1.55</v>
      </c>
      <c r="I3" s="361" t="s">
        <v>240</v>
      </c>
      <c r="J3" s="362"/>
      <c r="K3" s="360" t="s">
        <v>281</v>
      </c>
      <c r="L3" s="361"/>
      <c r="M3" s="361"/>
      <c r="N3" s="397">
        <f>'Invoer 4 - Grondeigenschappen'!B10</f>
        <v>-1.55</v>
      </c>
      <c r="O3" s="361" t="s">
        <v>240</v>
      </c>
      <c r="P3" s="362"/>
      <c r="Q3" s="360" t="s">
        <v>281</v>
      </c>
      <c r="R3" s="361"/>
      <c r="S3" s="361"/>
      <c r="T3" s="397">
        <f>'Invoer 4 - Grondeigenschappen'!B10</f>
        <v>-1.55</v>
      </c>
      <c r="U3" s="361" t="s">
        <v>240</v>
      </c>
      <c r="V3" s="362"/>
      <c r="AT3" s="250"/>
      <c r="AU3" s="250"/>
      <c r="AV3" s="250"/>
      <c r="AW3" s="250"/>
      <c r="AX3" s="250"/>
    </row>
    <row r="4" spans="1:50" ht="18" x14ac:dyDescent="0.35">
      <c r="A4" s="360" t="s">
        <v>163</v>
      </c>
      <c r="B4" s="394">
        <f>'Overzicht rekenresultaten'!E10</f>
        <v>4.5069178612419245</v>
      </c>
      <c r="C4" s="361" t="s">
        <v>15</v>
      </c>
      <c r="D4" s="362"/>
      <c r="E4" s="360" t="s">
        <v>246</v>
      </c>
      <c r="F4" s="361"/>
      <c r="G4" s="361"/>
      <c r="H4" s="364">
        <v>22</v>
      </c>
      <c r="I4" s="361" t="s">
        <v>28</v>
      </c>
      <c r="J4" s="362"/>
      <c r="K4" s="360"/>
      <c r="L4" s="361"/>
      <c r="M4" s="361"/>
      <c r="N4" s="361"/>
      <c r="O4" s="361"/>
      <c r="P4" s="362"/>
      <c r="Q4" s="360"/>
      <c r="R4" s="361"/>
      <c r="S4" s="361"/>
      <c r="T4" s="361"/>
      <c r="U4" s="361"/>
      <c r="V4" s="362"/>
      <c r="AT4" s="250">
        <v>0</v>
      </c>
      <c r="AU4" s="365">
        <v>0.73</v>
      </c>
      <c r="AV4" s="250"/>
      <c r="AW4" s="250">
        <v>0</v>
      </c>
      <c r="AX4" s="365">
        <v>0.40500000000000003</v>
      </c>
    </row>
    <row r="5" spans="1:50" x14ac:dyDescent="0.25">
      <c r="A5" s="360" t="s">
        <v>164</v>
      </c>
      <c r="B5" s="394">
        <f>'Overzicht rekenresultaten'!E11</f>
        <v>6.79</v>
      </c>
      <c r="C5" s="361" t="s">
        <v>15</v>
      </c>
      <c r="D5" s="362"/>
      <c r="E5" s="360"/>
      <c r="F5" s="361"/>
      <c r="G5" s="361"/>
      <c r="H5" s="361"/>
      <c r="I5" s="361"/>
      <c r="J5" s="362"/>
      <c r="K5" s="360" t="s">
        <v>282</v>
      </c>
      <c r="L5" s="361"/>
      <c r="M5" s="361"/>
      <c r="N5" s="366">
        <v>-3.5</v>
      </c>
      <c r="O5" s="361" t="s">
        <v>240</v>
      </c>
      <c r="P5" s="362"/>
      <c r="Q5" s="360" t="s">
        <v>282</v>
      </c>
      <c r="R5" s="361"/>
      <c r="S5" s="361"/>
      <c r="T5" s="366">
        <v>-3.5</v>
      </c>
      <c r="U5" s="361" t="s">
        <v>240</v>
      </c>
      <c r="V5" s="362"/>
      <c r="AT5" s="250">
        <v>2.5</v>
      </c>
      <c r="AU5" s="365">
        <v>0.755</v>
      </c>
      <c r="AV5" s="250"/>
      <c r="AW5" s="250">
        <v>2.5</v>
      </c>
      <c r="AX5" s="365">
        <v>0.40600000000000003</v>
      </c>
    </row>
    <row r="6" spans="1:50" ht="18.75" x14ac:dyDescent="0.35">
      <c r="A6" s="360" t="s">
        <v>167</v>
      </c>
      <c r="B6" s="394">
        <f>'Overzicht rekenresultaten'!E12</f>
        <v>30.601972277832669</v>
      </c>
      <c r="C6" s="361" t="s">
        <v>19</v>
      </c>
      <c r="D6" s="362"/>
      <c r="E6" s="360" t="s">
        <v>247</v>
      </c>
      <c r="F6" s="361"/>
      <c r="G6" s="361"/>
      <c r="H6" s="397">
        <f>AU34</f>
        <v>1.2130495871582658</v>
      </c>
      <c r="I6" s="361" t="s">
        <v>116</v>
      </c>
      <c r="J6" s="362"/>
      <c r="K6" s="360" t="s">
        <v>283</v>
      </c>
      <c r="L6" s="361"/>
      <c r="M6" s="361"/>
      <c r="N6" s="397">
        <f>N3-N5</f>
        <v>1.95</v>
      </c>
      <c r="O6" s="361" t="s">
        <v>15</v>
      </c>
      <c r="P6" s="362"/>
      <c r="Q6" s="360" t="s">
        <v>283</v>
      </c>
      <c r="R6" s="361"/>
      <c r="S6" s="361"/>
      <c r="T6" s="397">
        <f>T3-T5</f>
        <v>1.95</v>
      </c>
      <c r="U6" s="361" t="s">
        <v>15</v>
      </c>
      <c r="V6" s="362"/>
      <c r="AT6" s="250">
        <v>5</v>
      </c>
      <c r="AU6" s="365">
        <v>0.78500000000000003</v>
      </c>
      <c r="AV6" s="250"/>
      <c r="AW6" s="250">
        <v>5</v>
      </c>
      <c r="AX6" s="365">
        <v>0.40699999999999997</v>
      </c>
    </row>
    <row r="7" spans="1:50" ht="18" x14ac:dyDescent="0.35">
      <c r="A7" s="360" t="s">
        <v>245</v>
      </c>
      <c r="B7" s="395">
        <f>B3/B2</f>
        <v>1.7740291564019375E-2</v>
      </c>
      <c r="C7" s="361" t="s">
        <v>116</v>
      </c>
      <c r="D7" s="362"/>
      <c r="E7" s="360" t="s">
        <v>257</v>
      </c>
      <c r="F7" s="361"/>
      <c r="G7" s="361"/>
      <c r="H7" s="397">
        <f>H6*B4</f>
        <v>5.4671148509357312</v>
      </c>
      <c r="I7" s="361" t="s">
        <v>15</v>
      </c>
      <c r="J7" s="362"/>
      <c r="K7" s="360"/>
      <c r="L7" s="361"/>
      <c r="M7" s="361"/>
      <c r="N7" s="361"/>
      <c r="O7" s="361"/>
      <c r="P7" s="362"/>
      <c r="Q7" s="360"/>
      <c r="R7" s="361"/>
      <c r="S7" s="361"/>
      <c r="T7" s="361"/>
      <c r="U7" s="361"/>
      <c r="V7" s="362"/>
      <c r="AT7" s="250">
        <v>7.5</v>
      </c>
      <c r="AU7" s="365">
        <v>0.83</v>
      </c>
      <c r="AV7" s="250"/>
      <c r="AW7" s="250">
        <v>7.5</v>
      </c>
      <c r="AX7" s="365">
        <v>0.40899999999999997</v>
      </c>
    </row>
    <row r="8" spans="1:50" x14ac:dyDescent="0.25">
      <c r="A8" s="360"/>
      <c r="B8" s="396"/>
      <c r="C8" s="361"/>
      <c r="D8" s="362"/>
      <c r="E8" s="360" t="s">
        <v>258</v>
      </c>
      <c r="F8" s="361"/>
      <c r="G8" s="361"/>
      <c r="H8" s="397">
        <f>H3-H7</f>
        <v>-7.0171148509357311</v>
      </c>
      <c r="I8" s="361" t="s">
        <v>240</v>
      </c>
      <c r="J8" s="362"/>
      <c r="K8" s="360" t="s">
        <v>285</v>
      </c>
      <c r="L8" s="361"/>
      <c r="M8" s="361"/>
      <c r="N8" s="361"/>
      <c r="O8" s="361"/>
      <c r="P8" s="362"/>
      <c r="Q8" s="360" t="s">
        <v>293</v>
      </c>
      <c r="R8" s="361"/>
      <c r="S8" s="361"/>
      <c r="T8" s="361"/>
      <c r="U8" s="361"/>
      <c r="V8" s="362"/>
      <c r="AT8" s="250">
        <v>10</v>
      </c>
      <c r="AU8" s="365">
        <v>0.88</v>
      </c>
      <c r="AV8" s="250"/>
      <c r="AW8" s="250">
        <v>10</v>
      </c>
      <c r="AX8" s="365">
        <v>0.42</v>
      </c>
    </row>
    <row r="9" spans="1:50" ht="18.75" x14ac:dyDescent="0.35">
      <c r="A9" s="360" t="s">
        <v>276</v>
      </c>
      <c r="B9" s="394">
        <f>'Overzicht rekenresultaten'!E16</f>
        <v>43.607493167970809</v>
      </c>
      <c r="C9" s="361" t="s">
        <v>104</v>
      </c>
      <c r="D9" s="362"/>
      <c r="E9" s="360"/>
      <c r="F9" s="361"/>
      <c r="G9" s="361"/>
      <c r="H9" s="398"/>
      <c r="I9" s="361"/>
      <c r="J9" s="362"/>
      <c r="K9" s="360" t="s">
        <v>284</v>
      </c>
      <c r="L9" s="361"/>
      <c r="M9" s="361"/>
      <c r="N9" s="397">
        <f>TAN(8*PI()/180)*N6*2+B4</f>
        <v>5.0550271165812513</v>
      </c>
      <c r="O9" s="361" t="s">
        <v>15</v>
      </c>
      <c r="P9" s="362"/>
      <c r="Q9" s="360" t="s">
        <v>294</v>
      </c>
      <c r="R9" s="361"/>
      <c r="S9" s="361"/>
      <c r="T9" s="399">
        <f>B2+T28*B6*1.2</f>
        <v>2196.218775171119</v>
      </c>
      <c r="U9" s="361" t="s">
        <v>12</v>
      </c>
      <c r="V9" s="362"/>
      <c r="AT9" s="250">
        <v>12.5</v>
      </c>
      <c r="AU9" s="365">
        <v>0.93500000000000005</v>
      </c>
      <c r="AV9" s="250"/>
      <c r="AW9" s="250">
        <v>12.5</v>
      </c>
      <c r="AX9" s="365">
        <v>0.435</v>
      </c>
    </row>
    <row r="10" spans="1:50" ht="18" x14ac:dyDescent="0.35">
      <c r="A10" s="360"/>
      <c r="B10" s="361"/>
      <c r="C10" s="361"/>
      <c r="D10" s="362"/>
      <c r="E10" s="360" t="s">
        <v>259</v>
      </c>
      <c r="F10" s="361"/>
      <c r="G10" s="361"/>
      <c r="H10" s="399">
        <f>'Invoer 4 - Grondeigenschappen'!G63</f>
        <v>23.836786468602806</v>
      </c>
      <c r="I10" s="361" t="s">
        <v>28</v>
      </c>
      <c r="J10" s="362"/>
      <c r="K10" s="360" t="s">
        <v>286</v>
      </c>
      <c r="L10" s="361"/>
      <c r="M10" s="361"/>
      <c r="N10" s="397">
        <f>TAN(8*PI()/180)*N6*2+B5</f>
        <v>7.3381092553393268</v>
      </c>
      <c r="O10" s="361" t="s">
        <v>15</v>
      </c>
      <c r="P10" s="362"/>
      <c r="Q10" s="360" t="s">
        <v>245</v>
      </c>
      <c r="R10" s="361"/>
      <c r="S10" s="361"/>
      <c r="T10" s="397">
        <f>B3/T9</f>
        <v>9.8325222197501953E-3</v>
      </c>
      <c r="U10" s="361" t="s">
        <v>116</v>
      </c>
      <c r="V10" s="362"/>
      <c r="AT10" s="250"/>
      <c r="AU10" s="365"/>
      <c r="AV10" s="250"/>
      <c r="AW10" s="250"/>
      <c r="AX10" s="365"/>
    </row>
    <row r="11" spans="1:50" ht="18.75" x14ac:dyDescent="0.35">
      <c r="A11" s="360" t="s">
        <v>184</v>
      </c>
      <c r="B11" s="368">
        <v>0</v>
      </c>
      <c r="C11" s="361" t="s">
        <v>15</v>
      </c>
      <c r="D11" s="362"/>
      <c r="E11" s="360" t="s">
        <v>260</v>
      </c>
      <c r="F11" s="361"/>
      <c r="G11" s="361"/>
      <c r="H11" s="399">
        <f>'Invoer 4 - Grondeigenschappen'!G64</f>
        <v>21.016328584474582</v>
      </c>
      <c r="I11" s="361" t="s">
        <v>28</v>
      </c>
      <c r="J11" s="362"/>
      <c r="K11" s="360" t="s">
        <v>287</v>
      </c>
      <c r="L11" s="361"/>
      <c r="M11" s="361"/>
      <c r="N11" s="397">
        <f>N9*N10</f>
        <v>37.094341270176152</v>
      </c>
      <c r="O11" s="361" t="s">
        <v>19</v>
      </c>
      <c r="P11" s="362"/>
      <c r="Q11" s="360"/>
      <c r="R11" s="361"/>
      <c r="S11" s="361"/>
      <c r="T11" s="361"/>
      <c r="U11" s="361"/>
      <c r="V11" s="362"/>
      <c r="AT11" s="250">
        <v>15</v>
      </c>
      <c r="AU11" s="365">
        <v>1</v>
      </c>
      <c r="AV11" s="250"/>
      <c r="AW11" s="250">
        <v>15</v>
      </c>
      <c r="AX11" s="365">
        <v>0.44900000000000001</v>
      </c>
    </row>
    <row r="12" spans="1:50" ht="18.75" x14ac:dyDescent="0.35">
      <c r="A12" s="360" t="s">
        <v>95</v>
      </c>
      <c r="B12" s="368">
        <v>17</v>
      </c>
      <c r="C12" s="361" t="s">
        <v>262</v>
      </c>
      <c r="D12" s="362"/>
      <c r="E12" s="360" t="s">
        <v>261</v>
      </c>
      <c r="F12" s="361"/>
      <c r="G12" s="361"/>
      <c r="H12" s="397">
        <f>'Invoer 4 - Grondeigenschappen'!J64</f>
        <v>0.6466610927849592</v>
      </c>
      <c r="I12" s="361" t="s">
        <v>104</v>
      </c>
      <c r="J12" s="362"/>
      <c r="K12" s="360"/>
      <c r="L12" s="361"/>
      <c r="M12" s="361"/>
      <c r="N12" s="398"/>
      <c r="O12" s="361"/>
      <c r="P12" s="362"/>
      <c r="Q12" s="360" t="s">
        <v>285</v>
      </c>
      <c r="R12" s="361"/>
      <c r="S12" s="361"/>
      <c r="T12" s="361"/>
      <c r="U12" s="361"/>
      <c r="V12" s="362"/>
      <c r="AT12" s="250">
        <v>17.5</v>
      </c>
      <c r="AU12" s="365">
        <v>1.075</v>
      </c>
      <c r="AV12" s="250"/>
      <c r="AW12" s="250">
        <v>17.5</v>
      </c>
      <c r="AX12" s="365">
        <v>0.46500000000000002</v>
      </c>
    </row>
    <row r="13" spans="1:50" ht="18.75" x14ac:dyDescent="0.35">
      <c r="A13" s="360" t="s">
        <v>460</v>
      </c>
      <c r="B13" s="368">
        <v>19</v>
      </c>
      <c r="C13" s="361" t="s">
        <v>262</v>
      </c>
      <c r="D13" s="362"/>
      <c r="E13" s="360" t="s">
        <v>295</v>
      </c>
      <c r="F13" s="361"/>
      <c r="G13" s="361"/>
      <c r="H13" s="399">
        <f>'Invoer 4 - Grondeigenschappen'!I80</f>
        <v>5.5624115816468827</v>
      </c>
      <c r="I13" s="361" t="s">
        <v>262</v>
      </c>
      <c r="J13" s="362"/>
      <c r="K13" s="360" t="s">
        <v>288</v>
      </c>
      <c r="L13" s="361"/>
      <c r="M13" s="361"/>
      <c r="N13" s="399">
        <f>VLOOKUP(N5,'Invoer 4 - Grondeigenschappen'!B27:O37,12,0)</f>
        <v>11.111111111111111</v>
      </c>
      <c r="O13" s="361" t="s">
        <v>289</v>
      </c>
      <c r="P13" s="362"/>
      <c r="Q13" s="360" t="s">
        <v>284</v>
      </c>
      <c r="R13" s="361"/>
      <c r="S13" s="361"/>
      <c r="T13" s="397">
        <f>TAN(8*PI()/180)*T6*2+B4</f>
        <v>5.0550271165812513</v>
      </c>
      <c r="U13" s="361" t="s">
        <v>15</v>
      </c>
      <c r="V13" s="362"/>
      <c r="AT13" s="250">
        <v>20</v>
      </c>
      <c r="AU13" s="365">
        <v>1.1499999999999999</v>
      </c>
      <c r="AV13" s="250"/>
      <c r="AW13" s="250">
        <v>20</v>
      </c>
      <c r="AX13" s="365">
        <v>0.48</v>
      </c>
    </row>
    <row r="14" spans="1:50" ht="18" x14ac:dyDescent="0.35">
      <c r="A14" s="360" t="s">
        <v>231</v>
      </c>
      <c r="B14" s="368">
        <v>30</v>
      </c>
      <c r="C14" s="361" t="s">
        <v>28</v>
      </c>
      <c r="D14" s="362"/>
      <c r="E14" s="360"/>
      <c r="F14" s="361"/>
      <c r="G14" s="361"/>
      <c r="H14" s="398"/>
      <c r="I14" s="361"/>
      <c r="J14" s="362"/>
      <c r="K14" s="360"/>
      <c r="L14" s="361"/>
      <c r="M14" s="361"/>
      <c r="N14" s="398"/>
      <c r="O14" s="361"/>
      <c r="P14" s="362"/>
      <c r="Q14" s="360" t="s">
        <v>286</v>
      </c>
      <c r="R14" s="361"/>
      <c r="S14" s="361"/>
      <c r="T14" s="397">
        <f>TAN(8*PI()/180)*T6*2+B5</f>
        <v>7.3381092553393268</v>
      </c>
      <c r="U14" s="361" t="s">
        <v>15</v>
      </c>
      <c r="V14" s="362"/>
      <c r="AT14" s="250">
        <v>22.5</v>
      </c>
      <c r="AU14" s="365">
        <v>1.2450000000000001</v>
      </c>
      <c r="AV14" s="250"/>
      <c r="AW14" s="250">
        <v>22.5</v>
      </c>
      <c r="AX14" s="365">
        <v>0.5</v>
      </c>
    </row>
    <row r="15" spans="1:50" ht="18.75" x14ac:dyDescent="0.35">
      <c r="A15" s="360" t="s">
        <v>238</v>
      </c>
      <c r="B15" s="368">
        <v>0</v>
      </c>
      <c r="C15" s="361" t="s">
        <v>104</v>
      </c>
      <c r="D15" s="362"/>
      <c r="E15" s="360" t="s">
        <v>263</v>
      </c>
      <c r="F15" s="361"/>
      <c r="G15" s="361"/>
      <c r="H15" s="397">
        <v>0</v>
      </c>
      <c r="I15" s="361" t="s">
        <v>104</v>
      </c>
      <c r="J15" s="362"/>
      <c r="K15" s="360" t="s">
        <v>290</v>
      </c>
      <c r="L15" s="361"/>
      <c r="M15" s="361"/>
      <c r="N15" s="401">
        <f>1+0.2*(N9/N10)</f>
        <v>1.1377746485009919</v>
      </c>
      <c r="O15" s="361" t="s">
        <v>116</v>
      </c>
      <c r="P15" s="362"/>
      <c r="Q15" s="360" t="s">
        <v>287</v>
      </c>
      <c r="R15" s="361"/>
      <c r="S15" s="361"/>
      <c r="T15" s="397">
        <f>T13*T14</f>
        <v>37.094341270176152</v>
      </c>
      <c r="U15" s="361" t="s">
        <v>19</v>
      </c>
      <c r="V15" s="362"/>
      <c r="AT15" s="250">
        <v>25</v>
      </c>
      <c r="AU15" s="365">
        <v>1.335</v>
      </c>
      <c r="AV15" s="250"/>
      <c r="AW15" s="250">
        <v>25</v>
      </c>
      <c r="AX15" s="365">
        <v>0.51500000000000001</v>
      </c>
    </row>
    <row r="16" spans="1:50" ht="18.75" x14ac:dyDescent="0.35">
      <c r="A16" s="360" t="s">
        <v>461</v>
      </c>
      <c r="B16" s="368">
        <v>0</v>
      </c>
      <c r="C16" s="361" t="s">
        <v>104</v>
      </c>
      <c r="D16" s="362"/>
      <c r="E16" s="360" t="s">
        <v>264</v>
      </c>
      <c r="F16" s="361"/>
      <c r="G16" s="361"/>
      <c r="H16" s="397">
        <v>1</v>
      </c>
      <c r="I16" s="361" t="s">
        <v>116</v>
      </c>
      <c r="J16" s="362"/>
      <c r="K16" s="360" t="s">
        <v>291</v>
      </c>
      <c r="L16" s="361"/>
      <c r="M16" s="361"/>
      <c r="N16" s="401">
        <f>0.5*(1+((1-(B3/(N9*N10*N13)))^0.5))</f>
        <v>0.98672547311631453</v>
      </c>
      <c r="O16" s="361" t="s">
        <v>116</v>
      </c>
      <c r="P16" s="362"/>
      <c r="Q16" s="360"/>
      <c r="R16" s="361"/>
      <c r="S16" s="361"/>
      <c r="T16" s="361"/>
      <c r="U16" s="361"/>
      <c r="V16" s="362"/>
      <c r="AT16" s="250">
        <v>27.5</v>
      </c>
      <c r="AU16" s="365">
        <v>1.43</v>
      </c>
      <c r="AV16" s="250"/>
      <c r="AW16" s="250">
        <v>27.5</v>
      </c>
      <c r="AX16" s="365">
        <v>0.54</v>
      </c>
    </row>
    <row r="17" spans="1:50" ht="18" x14ac:dyDescent="0.35">
      <c r="A17" s="360" t="s">
        <v>185</v>
      </c>
      <c r="B17" s="368" t="s">
        <v>201</v>
      </c>
      <c r="C17" s="361"/>
      <c r="D17" s="362"/>
      <c r="E17" s="360" t="s">
        <v>265</v>
      </c>
      <c r="F17" s="361"/>
      <c r="G17" s="361"/>
      <c r="H17" s="397">
        <v>1</v>
      </c>
      <c r="I17" s="361" t="s">
        <v>116</v>
      </c>
      <c r="J17" s="362"/>
      <c r="K17" s="360"/>
      <c r="L17" s="361"/>
      <c r="M17" s="361"/>
      <c r="N17" s="398"/>
      <c r="O17" s="361"/>
      <c r="P17" s="362"/>
      <c r="Q17" s="360" t="s">
        <v>246</v>
      </c>
      <c r="R17" s="361"/>
      <c r="S17" s="361"/>
      <c r="T17" s="364">
        <v>17.5</v>
      </c>
      <c r="U17" s="361" t="s">
        <v>28</v>
      </c>
      <c r="V17" s="362"/>
      <c r="AT17" s="250">
        <v>30</v>
      </c>
      <c r="AU17" s="365">
        <v>1.55</v>
      </c>
      <c r="AV17" s="250"/>
      <c r="AW17" s="250">
        <v>30</v>
      </c>
      <c r="AX17" s="365">
        <v>0.56999999999999995</v>
      </c>
    </row>
    <row r="18" spans="1:50" ht="18.75" x14ac:dyDescent="0.35">
      <c r="A18" s="360"/>
      <c r="B18" s="361"/>
      <c r="C18" s="361"/>
      <c r="D18" s="362"/>
      <c r="E18" s="360" t="s">
        <v>267</v>
      </c>
      <c r="F18" s="361"/>
      <c r="G18" s="361"/>
      <c r="H18" s="397">
        <v>1</v>
      </c>
      <c r="I18" s="361" t="s">
        <v>116</v>
      </c>
      <c r="J18" s="362"/>
      <c r="K18" s="360" t="s">
        <v>292</v>
      </c>
      <c r="L18" s="361"/>
      <c r="M18" s="361"/>
      <c r="N18" s="397">
        <f>VLOOKUP(N5,'Invoer 4 - Grondeigenschappen'!C27:O37,9,0)</f>
        <v>26.658651450173039</v>
      </c>
      <c r="O18" s="361" t="s">
        <v>104</v>
      </c>
      <c r="P18" s="362"/>
      <c r="Q18" s="360"/>
      <c r="R18" s="361"/>
      <c r="S18" s="361"/>
      <c r="T18" s="361"/>
      <c r="U18" s="361"/>
      <c r="V18" s="362"/>
      <c r="AT18" s="250">
        <v>32.5</v>
      </c>
      <c r="AU18" s="365">
        <v>1.7</v>
      </c>
      <c r="AV18" s="250"/>
      <c r="AW18" s="250">
        <v>32.5</v>
      </c>
      <c r="AX18" s="365">
        <v>0.61</v>
      </c>
    </row>
    <row r="19" spans="1:50" ht="18" x14ac:dyDescent="0.35">
      <c r="A19" s="499" t="s">
        <v>483</v>
      </c>
      <c r="B19" s="500"/>
      <c r="C19" s="500"/>
      <c r="D19" s="501"/>
      <c r="E19" s="360"/>
      <c r="F19" s="361"/>
      <c r="G19" s="361"/>
      <c r="H19" s="398"/>
      <c r="I19" s="361"/>
      <c r="J19" s="362"/>
      <c r="K19" s="360"/>
      <c r="L19" s="361"/>
      <c r="M19" s="361"/>
      <c r="N19" s="361"/>
      <c r="O19" s="361"/>
      <c r="P19" s="362"/>
      <c r="Q19" s="360" t="s">
        <v>247</v>
      </c>
      <c r="R19" s="361"/>
      <c r="S19" s="361"/>
      <c r="T19" s="397">
        <f>AU43</f>
        <v>1.0690021614459524</v>
      </c>
      <c r="U19" s="361" t="s">
        <v>116</v>
      </c>
      <c r="V19" s="362"/>
      <c r="AT19" s="250">
        <v>35</v>
      </c>
      <c r="AU19" s="365">
        <v>1.88</v>
      </c>
      <c r="AV19" s="250"/>
      <c r="AW19" s="250">
        <v>35</v>
      </c>
      <c r="AX19" s="365">
        <v>0.64500000000000002</v>
      </c>
    </row>
    <row r="20" spans="1:50" ht="18" x14ac:dyDescent="0.35">
      <c r="A20" s="499"/>
      <c r="B20" s="500"/>
      <c r="C20" s="500"/>
      <c r="D20" s="501"/>
      <c r="E20" s="360" t="s">
        <v>266</v>
      </c>
      <c r="F20" s="361"/>
      <c r="G20" s="361"/>
      <c r="H20" s="397">
        <f>EXP(1)^(PI()*TAN(H11*PI()/180))*(TAN((45+(0.5*H11))*PI()/180))^2</f>
        <v>7.0823555481976062</v>
      </c>
      <c r="I20" s="361" t="s">
        <v>116</v>
      </c>
      <c r="J20" s="362"/>
      <c r="K20" s="360"/>
      <c r="L20" s="361"/>
      <c r="M20" s="361"/>
      <c r="N20" s="361"/>
      <c r="O20" s="361"/>
      <c r="P20" s="362"/>
      <c r="Q20" s="360" t="s">
        <v>257</v>
      </c>
      <c r="R20" s="361"/>
      <c r="S20" s="361"/>
      <c r="T20" s="397">
        <f>T19*T13</f>
        <v>5.4038349137932578</v>
      </c>
      <c r="U20" s="361" t="s">
        <v>15</v>
      </c>
      <c r="V20" s="362"/>
      <c r="AT20" s="250">
        <v>37.5</v>
      </c>
      <c r="AU20" s="365">
        <v>2.09</v>
      </c>
      <c r="AV20" s="250"/>
      <c r="AW20" s="250">
        <v>37.5</v>
      </c>
      <c r="AX20" s="365">
        <v>0.69</v>
      </c>
    </row>
    <row r="21" spans="1:50" ht="18" x14ac:dyDescent="0.35">
      <c r="A21" s="499"/>
      <c r="B21" s="500"/>
      <c r="C21" s="500"/>
      <c r="D21" s="501"/>
      <c r="E21" s="360" t="s">
        <v>268</v>
      </c>
      <c r="F21" s="361"/>
      <c r="G21" s="361"/>
      <c r="H21" s="397">
        <f>(H20-1)*_xlfn.COT(H11*PI()/180)</f>
        <v>15.831590872442785</v>
      </c>
      <c r="I21" s="361" t="s">
        <v>116</v>
      </c>
      <c r="J21" s="362"/>
      <c r="K21" s="360"/>
      <c r="L21" s="361"/>
      <c r="M21" s="361"/>
      <c r="N21" s="361"/>
      <c r="O21" s="361"/>
      <c r="P21" s="362"/>
      <c r="Q21" s="360" t="s">
        <v>258</v>
      </c>
      <c r="R21" s="361"/>
      <c r="S21" s="361"/>
      <c r="T21" s="397">
        <f>T5-T20</f>
        <v>-8.9038349137932578</v>
      </c>
      <c r="U21" s="361" t="s">
        <v>240</v>
      </c>
      <c r="V21" s="362"/>
      <c r="AT21" s="250">
        <v>40</v>
      </c>
      <c r="AU21" s="365">
        <v>2.335</v>
      </c>
      <c r="AV21" s="250"/>
      <c r="AW21" s="250">
        <v>40</v>
      </c>
      <c r="AX21" s="365">
        <v>0.73499999999999999</v>
      </c>
    </row>
    <row r="22" spans="1:50" ht="18" x14ac:dyDescent="0.35">
      <c r="A22" s="499"/>
      <c r="B22" s="500"/>
      <c r="C22" s="500"/>
      <c r="D22" s="501"/>
      <c r="E22" s="360" t="s">
        <v>269</v>
      </c>
      <c r="F22" s="361"/>
      <c r="G22" s="361"/>
      <c r="H22" s="397">
        <f>2*(H20-1)*TAN(H11*PI()/180)</f>
        <v>4.6735731503882567</v>
      </c>
      <c r="I22" s="361" t="s">
        <v>116</v>
      </c>
      <c r="J22" s="362"/>
      <c r="K22" s="360"/>
      <c r="L22" s="361"/>
      <c r="M22" s="361"/>
      <c r="N22" s="361"/>
      <c r="O22" s="361"/>
      <c r="P22" s="362"/>
      <c r="Q22" s="360"/>
      <c r="R22" s="361"/>
      <c r="S22" s="361"/>
      <c r="T22" s="398"/>
      <c r="U22" s="361"/>
      <c r="V22" s="362"/>
      <c r="AT22" s="250">
        <v>42.5</v>
      </c>
      <c r="AU22" s="365">
        <v>2.64</v>
      </c>
      <c r="AV22" s="250"/>
      <c r="AW22" s="250">
        <v>42.5</v>
      </c>
      <c r="AX22" s="365">
        <v>0.79</v>
      </c>
    </row>
    <row r="23" spans="1:50" ht="18" x14ac:dyDescent="0.35">
      <c r="A23" s="499"/>
      <c r="B23" s="500"/>
      <c r="C23" s="500"/>
      <c r="D23" s="501"/>
      <c r="E23" s="360"/>
      <c r="F23" s="361"/>
      <c r="G23" s="361"/>
      <c r="H23" s="398"/>
      <c r="I23" s="361"/>
      <c r="J23" s="362"/>
      <c r="K23" s="360"/>
      <c r="L23" s="361"/>
      <c r="M23" s="361"/>
      <c r="N23" s="361"/>
      <c r="O23" s="361"/>
      <c r="P23" s="362"/>
      <c r="Q23" s="360" t="s">
        <v>259</v>
      </c>
      <c r="R23" s="361"/>
      <c r="S23" s="361"/>
      <c r="T23" s="397">
        <f>'Invoer 4 - Grondeigenschappen'!H96</f>
        <v>15.989407358034651</v>
      </c>
      <c r="U23" s="361" t="s">
        <v>28</v>
      </c>
      <c r="V23" s="362"/>
      <c r="AT23" s="250">
        <v>45</v>
      </c>
      <c r="AU23" s="365">
        <v>2.9849999999999999</v>
      </c>
      <c r="AV23" s="250"/>
      <c r="AW23" s="250">
        <v>45</v>
      </c>
      <c r="AX23" s="365">
        <v>0.85</v>
      </c>
    </row>
    <row r="24" spans="1:50" ht="18" x14ac:dyDescent="0.35">
      <c r="A24" s="360"/>
      <c r="B24" s="361"/>
      <c r="C24" s="361"/>
      <c r="D24" s="362"/>
      <c r="E24" s="360" t="s">
        <v>270</v>
      </c>
      <c r="F24" s="361"/>
      <c r="G24" s="361"/>
      <c r="H24" s="397">
        <f>1+(MIN(B4:B5)/MAX(B4:B5))*SIN(H11*PI()/180)</f>
        <v>1.2380462374514876</v>
      </c>
      <c r="I24" s="361" t="s">
        <v>116</v>
      </c>
      <c r="J24" s="362"/>
      <c r="K24" s="360"/>
      <c r="L24" s="361"/>
      <c r="M24" s="361"/>
      <c r="N24" s="361"/>
      <c r="O24" s="361"/>
      <c r="P24" s="362"/>
      <c r="Q24" s="360" t="s">
        <v>260</v>
      </c>
      <c r="R24" s="361"/>
      <c r="S24" s="361"/>
      <c r="T24" s="397">
        <f>'Invoer 4 - Grondeigenschappen'!H97</f>
        <v>13.991468119450474</v>
      </c>
      <c r="U24" s="361" t="s">
        <v>28</v>
      </c>
      <c r="V24" s="362"/>
      <c r="AT24" s="250"/>
      <c r="AU24" s="250"/>
      <c r="AV24" s="250"/>
      <c r="AW24" s="250"/>
      <c r="AX24" s="250"/>
    </row>
    <row r="25" spans="1:50" ht="18.75" x14ac:dyDescent="0.35">
      <c r="A25" s="360"/>
      <c r="B25" s="361"/>
      <c r="C25" s="361"/>
      <c r="D25" s="362"/>
      <c r="E25" s="360" t="s">
        <v>271</v>
      </c>
      <c r="F25" s="361"/>
      <c r="G25" s="361"/>
      <c r="H25" s="400">
        <f>(H24*H20-1)/(H20-1)</f>
        <v>1.2771834163890174</v>
      </c>
      <c r="I25" s="361" t="s">
        <v>116</v>
      </c>
      <c r="J25" s="362"/>
      <c r="K25" s="360"/>
      <c r="L25" s="361"/>
      <c r="M25" s="361"/>
      <c r="N25" s="361"/>
      <c r="O25" s="361"/>
      <c r="P25" s="362"/>
      <c r="Q25" s="360" t="s">
        <v>261</v>
      </c>
      <c r="R25" s="361"/>
      <c r="S25" s="361"/>
      <c r="T25" s="397">
        <f>'Invoer 4 - Grondeigenschappen'!H124</f>
        <v>1.5625</v>
      </c>
      <c r="U25" s="361" t="s">
        <v>104</v>
      </c>
      <c r="V25" s="362"/>
      <c r="AT25" s="250"/>
      <c r="AU25" s="250"/>
      <c r="AV25" s="250"/>
      <c r="AW25" s="250"/>
      <c r="AX25" s="250"/>
    </row>
    <row r="26" spans="1:50" ht="18.75" x14ac:dyDescent="0.35">
      <c r="A26" s="360"/>
      <c r="B26" s="361"/>
      <c r="C26" s="361"/>
      <c r="D26" s="362"/>
      <c r="E26" s="360" t="s">
        <v>272</v>
      </c>
      <c r="F26" s="361"/>
      <c r="G26" s="361"/>
      <c r="H26" s="400">
        <f>1-0.3*(B4/B5)</f>
        <v>0.80087255399520219</v>
      </c>
      <c r="I26" s="361" t="s">
        <v>116</v>
      </c>
      <c r="J26" s="362"/>
      <c r="K26" s="360"/>
      <c r="L26" s="361"/>
      <c r="M26" s="361"/>
      <c r="N26" s="361"/>
      <c r="O26" s="361"/>
      <c r="P26" s="362"/>
      <c r="Q26" s="360" t="s">
        <v>295</v>
      </c>
      <c r="R26" s="361"/>
      <c r="S26" s="361"/>
      <c r="T26" s="397">
        <f>'Invoer 4 - Grondeigenschappen'!H110</f>
        <v>0.17989224691539077</v>
      </c>
      <c r="U26" s="361" t="s">
        <v>262</v>
      </c>
      <c r="V26" s="362"/>
      <c r="AT26" s="250"/>
      <c r="AU26" s="250"/>
      <c r="AV26" s="250"/>
      <c r="AW26" s="250"/>
      <c r="AX26" s="250"/>
    </row>
    <row r="27" spans="1:50" x14ac:dyDescent="0.25">
      <c r="A27" s="360"/>
      <c r="B27" s="361"/>
      <c r="C27" s="361"/>
      <c r="D27" s="362"/>
      <c r="E27" s="360"/>
      <c r="F27" s="361"/>
      <c r="G27" s="361"/>
      <c r="H27" s="398"/>
      <c r="I27" s="361"/>
      <c r="J27" s="362"/>
      <c r="K27" s="360"/>
      <c r="L27" s="361"/>
      <c r="M27" s="361"/>
      <c r="N27" s="361"/>
      <c r="O27" s="361"/>
      <c r="P27" s="362"/>
      <c r="Q27" s="360"/>
      <c r="R27" s="361"/>
      <c r="S27" s="361"/>
      <c r="T27" s="398"/>
      <c r="U27" s="361"/>
      <c r="V27" s="362"/>
      <c r="AT27" s="370" t="s">
        <v>242</v>
      </c>
      <c r="AU27" s="307"/>
      <c r="AV27" s="307"/>
      <c r="AW27" s="307"/>
      <c r="AX27" s="307"/>
    </row>
    <row r="28" spans="1:50" ht="18.75" x14ac:dyDescent="0.35">
      <c r="A28" s="360"/>
      <c r="B28" s="361"/>
      <c r="C28" s="361"/>
      <c r="D28" s="362"/>
      <c r="E28" s="360" t="s">
        <v>273</v>
      </c>
      <c r="F28" s="361"/>
      <c r="G28" s="361"/>
      <c r="H28" s="400">
        <f>1-(0.7*B3)/(B2+H12*B6*_xlfn.COT(H11*PI()/180))</f>
        <v>0.98808594469869182</v>
      </c>
      <c r="I28" s="361" t="s">
        <v>116</v>
      </c>
      <c r="J28" s="362"/>
      <c r="K28" s="360"/>
      <c r="L28" s="361"/>
      <c r="M28" s="361"/>
      <c r="N28" s="361"/>
      <c r="O28" s="361"/>
      <c r="P28" s="362"/>
      <c r="Q28" s="360" t="s">
        <v>263</v>
      </c>
      <c r="R28" s="361"/>
      <c r="S28" s="361"/>
      <c r="T28" s="397">
        <f>VLOOKUP(N5,'Invoer 4 - Grondeigenschappen'!C27:O37,9,0)</f>
        <v>26.658651450173039</v>
      </c>
      <c r="U28" s="361" t="s">
        <v>104</v>
      </c>
      <c r="V28" s="362"/>
      <c r="AT28" s="307">
        <f>H4</f>
        <v>22</v>
      </c>
      <c r="AU28" s="371">
        <f>AU29+(AT28-AT29)*AU32</f>
        <v>1.226</v>
      </c>
      <c r="AV28" s="307"/>
      <c r="AW28" s="307">
        <f>H4</f>
        <v>22</v>
      </c>
      <c r="AX28" s="371">
        <f>AX29+(AW28-AW29)*AX32</f>
        <v>0.496</v>
      </c>
    </row>
    <row r="29" spans="1:50" ht="18" x14ac:dyDescent="0.35">
      <c r="A29" s="360"/>
      <c r="B29" s="361"/>
      <c r="C29" s="361"/>
      <c r="D29" s="362"/>
      <c r="E29" s="360" t="s">
        <v>274</v>
      </c>
      <c r="F29" s="361"/>
      <c r="G29" s="361"/>
      <c r="H29" s="400">
        <f>(H28*H20-1)/(H20-1)</f>
        <v>0.98612715501484327</v>
      </c>
      <c r="I29" s="361" t="s">
        <v>116</v>
      </c>
      <c r="J29" s="362"/>
      <c r="K29" s="360"/>
      <c r="L29" s="361"/>
      <c r="M29" s="361"/>
      <c r="N29" s="361"/>
      <c r="O29" s="361"/>
      <c r="P29" s="362"/>
      <c r="Q29" s="360" t="s">
        <v>264</v>
      </c>
      <c r="R29" s="361"/>
      <c r="S29" s="361"/>
      <c r="T29" s="397">
        <v>1</v>
      </c>
      <c r="U29" s="361" t="s">
        <v>116</v>
      </c>
      <c r="V29" s="362"/>
      <c r="AT29" s="307">
        <f>AT30-AT5</f>
        <v>20</v>
      </c>
      <c r="AU29" s="371">
        <f>VLOOKUP(AT29,AT4:AU23,2,FALSE)</f>
        <v>1.1499999999999999</v>
      </c>
      <c r="AV29" s="307"/>
      <c r="AW29" s="307">
        <f>AW30-AW5</f>
        <v>20</v>
      </c>
      <c r="AX29" s="371">
        <f>VLOOKUP(AW29,AW4:AX23,2,FALSE)</f>
        <v>0.48</v>
      </c>
    </row>
    <row r="30" spans="1:50" ht="18" x14ac:dyDescent="0.35">
      <c r="A30" s="360"/>
      <c r="B30" s="361"/>
      <c r="C30" s="361"/>
      <c r="D30" s="362"/>
      <c r="E30" s="360" t="s">
        <v>275</v>
      </c>
      <c r="F30" s="361"/>
      <c r="G30" s="361"/>
      <c r="H30" s="400">
        <f>1-B3/(B2+H12*B6*_xlfn.COT(H11*PI()/180))</f>
        <v>0.98297992099813114</v>
      </c>
      <c r="I30" s="361" t="s">
        <v>116</v>
      </c>
      <c r="J30" s="362"/>
      <c r="K30" s="360"/>
      <c r="L30" s="361"/>
      <c r="M30" s="361"/>
      <c r="N30" s="361"/>
      <c r="O30" s="361"/>
      <c r="P30" s="362"/>
      <c r="Q30" s="360" t="s">
        <v>265</v>
      </c>
      <c r="R30" s="361"/>
      <c r="S30" s="361"/>
      <c r="T30" s="397">
        <v>1</v>
      </c>
      <c r="U30" s="361" t="s">
        <v>116</v>
      </c>
      <c r="V30" s="362"/>
      <c r="AT30" s="307">
        <f>IF(AT28&lt;=2.5,2.5,IF(AT28&lt;=5,5,IF(AT28&lt;=7.5,7.5,IF(AT28&lt;=10,10,IF(AT28&lt;=12.5,12.5,IF(AT28&lt;=15,15,IF(AT28&lt;=17.5,17.5,IF(AT28&lt;=20,20,IF(AT28&lt;=22.5,22.5,IF(AT28&lt;=25,25,IF(AT28&lt;=27.5,27.5,IF(AT28&lt;=30,30,IF(AT28&lt;=32.5,32.5,IF(AT28&lt;=35,35,IF(AT28&lt;=37.5,37.5,IF(AT28&lt;=40,40,IF(AT28&lt;=42.5,42.5,IF(AT28&lt;=45,45,0))))))))))))))))))</f>
        <v>22.5</v>
      </c>
      <c r="AU30" s="307">
        <f>VLOOKUP(AT30,AT4:AU23,2,FALSE)</f>
        <v>1.2450000000000001</v>
      </c>
      <c r="AV30" s="307"/>
      <c r="AW30" s="307">
        <f>IF(AW28&lt;=2.5,2.5,IF(AW28&lt;=5,5,IF(AW28&lt;=7.5,7.5,IF(AW28&lt;=10,10,IF(AW28&lt;=12.5,12.5,IF(AW28&lt;=15,15,IF(AW28&lt;=17.5,17.5,IF(AW28&lt;=20,20,IF(AW28&lt;=22.5,22.5,IF(AW28&lt;=25,25,IF(AW28&lt;=27.5,27.5,IF(AW28&lt;=30,30,IF(AW28&lt;=32.5,32.5,IF(AW28&lt;=35,35,IF(AW28&lt;=37.5,37.5,IF(AW28&lt;=40,40,IF(AW28&lt;=42.5,42.5,IF(AW28&lt;=45,45,0))))))))))))))))))</f>
        <v>22.5</v>
      </c>
      <c r="AX30" s="307">
        <f>VLOOKUP(AW30,AW4:AX23,2,FALSE)</f>
        <v>0.5</v>
      </c>
    </row>
    <row r="31" spans="1:50" ht="18.75" thickBot="1" x14ac:dyDescent="0.4">
      <c r="A31" s="360"/>
      <c r="B31" s="361"/>
      <c r="C31" s="361"/>
      <c r="D31" s="362"/>
      <c r="E31" s="372"/>
      <c r="F31" s="373"/>
      <c r="G31" s="373"/>
      <c r="H31" s="373"/>
      <c r="I31" s="373"/>
      <c r="J31" s="374"/>
      <c r="K31" s="372"/>
      <c r="L31" s="373"/>
      <c r="M31" s="373"/>
      <c r="N31" s="373"/>
      <c r="O31" s="373"/>
      <c r="P31" s="374"/>
      <c r="Q31" s="360" t="s">
        <v>267</v>
      </c>
      <c r="R31" s="361"/>
      <c r="S31" s="361"/>
      <c r="T31" s="397">
        <v>1</v>
      </c>
      <c r="U31" s="361" t="s">
        <v>116</v>
      </c>
      <c r="V31" s="362"/>
      <c r="AT31" s="307"/>
      <c r="AU31" s="307"/>
      <c r="AV31" s="307"/>
      <c r="AW31" s="307"/>
      <c r="AX31" s="307"/>
    </row>
    <row r="32" spans="1:50" ht="15.75" thickBot="1" x14ac:dyDescent="0.3">
      <c r="A32" s="360"/>
      <c r="B32" s="361"/>
      <c r="C32" s="361"/>
      <c r="D32" s="362"/>
      <c r="E32" s="356" t="s">
        <v>280</v>
      </c>
      <c r="F32" s="357"/>
      <c r="G32" s="357"/>
      <c r="H32" s="357"/>
      <c r="I32" s="357"/>
      <c r="J32" s="358"/>
      <c r="K32" s="356" t="s">
        <v>280</v>
      </c>
      <c r="L32" s="357"/>
      <c r="M32" s="357"/>
      <c r="N32" s="357"/>
      <c r="O32" s="357"/>
      <c r="P32" s="358"/>
      <c r="Q32" s="360"/>
      <c r="R32" s="361"/>
      <c r="S32" s="361"/>
      <c r="T32" s="398"/>
      <c r="U32" s="361"/>
      <c r="V32" s="362"/>
      <c r="AT32" s="307"/>
      <c r="AU32" s="307">
        <f>(AU30-AU29)/2.5</f>
        <v>3.8000000000000075E-2</v>
      </c>
      <c r="AV32" s="307"/>
      <c r="AW32" s="307"/>
      <c r="AX32" s="307">
        <f>(AX30-AX29)/2.5</f>
        <v>8.0000000000000071E-3</v>
      </c>
    </row>
    <row r="33" spans="1:50" ht="18" x14ac:dyDescent="0.35">
      <c r="A33" s="360"/>
      <c r="B33" s="361"/>
      <c r="C33" s="361"/>
      <c r="D33" s="362"/>
      <c r="E33" s="360" t="s">
        <v>277</v>
      </c>
      <c r="F33" s="361"/>
      <c r="G33" s="361"/>
      <c r="H33" s="375">
        <f>H12*H21*H25*H17*H29+H15*H20*H24*H16*H28+0.5*H13*B4*H22*H26*H18*H30</f>
        <v>59.011931270108711</v>
      </c>
      <c r="I33" s="376" t="s">
        <v>104</v>
      </c>
      <c r="J33" s="362"/>
      <c r="K33" s="360" t="s">
        <v>277</v>
      </c>
      <c r="L33" s="361"/>
      <c r="M33" s="361"/>
      <c r="N33" s="367">
        <f>(PI()+2)*N13*N15*N16+N18</f>
        <v>90.795519672831801</v>
      </c>
      <c r="O33" s="376" t="s">
        <v>104</v>
      </c>
      <c r="P33" s="362"/>
      <c r="Q33" s="360" t="s">
        <v>266</v>
      </c>
      <c r="R33" s="361"/>
      <c r="S33" s="361"/>
      <c r="T33" s="397">
        <f>EXP(1)^(PI()*TAN(T24*PI()/180))*(TAN((45+(0.5*T24))*PI()/180))^2</f>
        <v>3.5826837490727423</v>
      </c>
      <c r="U33" s="361" t="s">
        <v>116</v>
      </c>
      <c r="V33" s="362"/>
      <c r="AT33" s="307" t="s">
        <v>251</v>
      </c>
      <c r="AU33" s="308">
        <f>B7</f>
        <v>1.7740291564019375E-2</v>
      </c>
      <c r="AV33" s="307"/>
      <c r="AW33" s="307"/>
      <c r="AX33" s="307"/>
    </row>
    <row r="34" spans="1:50" ht="18" x14ac:dyDescent="0.35">
      <c r="A34" s="360"/>
      <c r="B34" s="361"/>
      <c r="C34" s="361"/>
      <c r="D34" s="362"/>
      <c r="E34" s="360" t="s">
        <v>276</v>
      </c>
      <c r="F34" s="361"/>
      <c r="G34" s="361"/>
      <c r="H34" s="367">
        <f>B9</f>
        <v>43.607493167970809</v>
      </c>
      <c r="I34" s="376" t="s">
        <v>104</v>
      </c>
      <c r="J34" s="362"/>
      <c r="K34" s="360" t="s">
        <v>276</v>
      </c>
      <c r="L34" s="361"/>
      <c r="M34" s="361"/>
      <c r="N34" s="367">
        <f>B9</f>
        <v>43.607493167970809</v>
      </c>
      <c r="O34" s="376" t="s">
        <v>104</v>
      </c>
      <c r="P34" s="362"/>
      <c r="Q34" s="360" t="s">
        <v>268</v>
      </c>
      <c r="R34" s="361"/>
      <c r="S34" s="361"/>
      <c r="T34" s="401">
        <f>(T33-1)*_xlfn.COT(T24*PI()/180)</f>
        <v>10.365153839769642</v>
      </c>
      <c r="U34" s="361" t="s">
        <v>116</v>
      </c>
      <c r="V34" s="362"/>
      <c r="AT34" s="307" t="s">
        <v>252</v>
      </c>
      <c r="AU34" s="371">
        <f>AU28-(AU28-AX28)*AU33</f>
        <v>1.2130495871582658</v>
      </c>
      <c r="AV34" s="307"/>
      <c r="AW34" s="307"/>
      <c r="AX34" s="307"/>
    </row>
    <row r="35" spans="1:50" ht="18" x14ac:dyDescent="0.35">
      <c r="A35" s="360"/>
      <c r="B35" s="361"/>
      <c r="C35" s="361"/>
      <c r="D35" s="362"/>
      <c r="E35" s="360"/>
      <c r="F35" s="361"/>
      <c r="G35" s="361"/>
      <c r="H35" s="361"/>
      <c r="I35" s="361"/>
      <c r="J35" s="362"/>
      <c r="K35" s="360"/>
      <c r="L35" s="361"/>
      <c r="M35" s="361"/>
      <c r="N35" s="361"/>
      <c r="O35" s="361"/>
      <c r="P35" s="362"/>
      <c r="Q35" s="360" t="s">
        <v>269</v>
      </c>
      <c r="R35" s="361"/>
      <c r="S35" s="361"/>
      <c r="T35" s="401">
        <f>2*(T33-1)*TAN(T24*PI()/180)</f>
        <v>1.2870538056331786</v>
      </c>
      <c r="U35" s="361" t="s">
        <v>116</v>
      </c>
      <c r="V35" s="362"/>
      <c r="AT35" s="250"/>
      <c r="AU35" s="250"/>
      <c r="AV35" s="250"/>
      <c r="AW35" s="250"/>
      <c r="AX35" s="250"/>
    </row>
    <row r="36" spans="1:50" x14ac:dyDescent="0.25">
      <c r="A36" s="360"/>
      <c r="B36" s="361"/>
      <c r="C36" s="361"/>
      <c r="D36" s="362"/>
      <c r="E36" s="360" t="s">
        <v>278</v>
      </c>
      <c r="F36" s="363">
        <f>H34/H33</f>
        <v>0.73896061744481989</v>
      </c>
      <c r="G36" s="377" t="s">
        <v>279</v>
      </c>
      <c r="H36" s="363">
        <v>1</v>
      </c>
      <c r="I36" s="361" t="s">
        <v>116</v>
      </c>
      <c r="J36" s="362"/>
      <c r="K36" s="360" t="s">
        <v>278</v>
      </c>
      <c r="L36" s="363">
        <f>N34/N33</f>
        <v>0.48028243381505992</v>
      </c>
      <c r="M36" s="377" t="s">
        <v>279</v>
      </c>
      <c r="N36" s="363">
        <v>1</v>
      </c>
      <c r="O36" s="361" t="s">
        <v>116</v>
      </c>
      <c r="P36" s="362"/>
      <c r="Q36" s="360"/>
      <c r="R36" s="361"/>
      <c r="S36" s="361"/>
      <c r="T36" s="398"/>
      <c r="U36" s="361"/>
      <c r="V36" s="362"/>
      <c r="AT36" s="378" t="s">
        <v>211</v>
      </c>
      <c r="AU36" s="309"/>
      <c r="AV36" s="309"/>
      <c r="AW36" s="309"/>
      <c r="AX36" s="309"/>
    </row>
    <row r="37" spans="1:50" ht="18.75" thickBot="1" x14ac:dyDescent="0.4">
      <c r="A37" s="372"/>
      <c r="B37" s="373"/>
      <c r="C37" s="373"/>
      <c r="D37" s="374"/>
      <c r="E37" s="372"/>
      <c r="F37" s="373"/>
      <c r="G37" s="373"/>
      <c r="H37" s="373" t="str">
        <f>IF(F36&lt;=H36,"Voldoet","Voldoet niet")</f>
        <v>Voldoet</v>
      </c>
      <c r="I37" s="373"/>
      <c r="J37" s="374"/>
      <c r="K37" s="372"/>
      <c r="L37" s="373"/>
      <c r="M37" s="373"/>
      <c r="N37" s="373" t="str">
        <f>IF(L36&lt;=N36,"Voldoet","Voldoet niet")</f>
        <v>Voldoet</v>
      </c>
      <c r="O37" s="373"/>
      <c r="P37" s="374"/>
      <c r="Q37" s="360" t="s">
        <v>270</v>
      </c>
      <c r="R37" s="361"/>
      <c r="S37" s="361"/>
      <c r="T37" s="397">
        <f>1+(T13/T14)*SIN(T24*PI()/180)</f>
        <v>1.1665539861570116</v>
      </c>
      <c r="U37" s="361" t="s">
        <v>116</v>
      </c>
      <c r="V37" s="362"/>
      <c r="AT37" s="309">
        <f>T17</f>
        <v>17.5</v>
      </c>
      <c r="AU37" s="379">
        <f>AU38+(AT37-AT38)*AU41</f>
        <v>1.075</v>
      </c>
      <c r="AV37" s="309"/>
      <c r="AW37" s="309">
        <f>T17</f>
        <v>17.5</v>
      </c>
      <c r="AX37" s="379">
        <f>AX38+(AW37-AW38)*AX41</f>
        <v>0.46500000000000002</v>
      </c>
    </row>
    <row r="38" spans="1:50" ht="18" x14ac:dyDescent="0.35">
      <c r="Q38" s="360" t="s">
        <v>271</v>
      </c>
      <c r="R38" s="361"/>
      <c r="S38" s="361"/>
      <c r="T38" s="401">
        <f>(T37*T33-1)/(T33-1)</f>
        <v>1.2310427127449297</v>
      </c>
      <c r="U38" s="361" t="s">
        <v>116</v>
      </c>
      <c r="V38" s="362"/>
      <c r="AT38" s="309">
        <f>AT39-AT5</f>
        <v>15</v>
      </c>
      <c r="AU38" s="379">
        <f>VLOOKUP(AT38,AT4:AU23,2,FALSE)</f>
        <v>1</v>
      </c>
      <c r="AV38" s="309"/>
      <c r="AW38" s="309">
        <f>AW39-AW5</f>
        <v>15</v>
      </c>
      <c r="AX38" s="379">
        <f>VLOOKUP(AW38,AW4:AX23,2,FALSE)</f>
        <v>0.44900000000000001</v>
      </c>
    </row>
    <row r="39" spans="1:50" ht="18" x14ac:dyDescent="0.35">
      <c r="Q39" s="360" t="s">
        <v>272</v>
      </c>
      <c r="R39" s="361"/>
      <c r="S39" s="361"/>
      <c r="T39" s="401">
        <f>1-0.3*(T13/T14)</f>
        <v>0.79333802724851232</v>
      </c>
      <c r="U39" s="361" t="s">
        <v>116</v>
      </c>
      <c r="V39" s="362"/>
      <c r="AT39" s="309">
        <f>IF(AT37&lt;=2.5,2.5,IF(AT37&lt;=5,5,IF(AT37&lt;=7.5,7.5,IF(AT37&lt;=10,10,IF(AT37&lt;=12.5,12.5,IF(AT37&lt;=15,15,IF(AT37&lt;=17.5,17.5,IF(AT37&lt;=20,20,IF(AT37&lt;=22.5,22.5,IF(AT37&lt;=25,25,IF(AT37&lt;=27.5,27.5,IF(AT37&lt;=30,30,IF(AT37&lt;=32.5,32.5,IF(AT37&lt;=35,35,IF(AT37&lt;=37.5,37.5,IF(AT37&lt;=40,40,IF(AT37&lt;=42.5,42.5,IF(AT37&lt;=45,45,0))))))))))))))))))</f>
        <v>17.5</v>
      </c>
      <c r="AU39" s="309">
        <f>VLOOKUP(AT39,AT4:AU23,2,FALSE)</f>
        <v>1.075</v>
      </c>
      <c r="AV39" s="309"/>
      <c r="AW39" s="309">
        <f>IF(AW37&lt;=2.5,2.5,IF(AW37&lt;=5,5,IF(AW37&lt;=7.5,7.5,IF(AW37&lt;=10,10,IF(AW37&lt;=12.5,12.5,IF(AW37&lt;=15,15,IF(AW37&lt;=17.5,17.5,IF(AW37&lt;=20,20,IF(AW37&lt;=22.5,22.5,IF(AW37&lt;=25,25,IF(AW37&lt;=27.5,27.5,IF(AW37&lt;=30,30,IF(AW37&lt;=32.5,32.5,IF(AW37&lt;=35,35,IF(AW37&lt;=37.5,37.5,IF(AW37&lt;=40,40,IF(AW37&lt;=42.5,42.5,IF(AW37&lt;=45,45,0))))))))))))))))))</f>
        <v>17.5</v>
      </c>
      <c r="AX39" s="309">
        <f>VLOOKUP(AW39,AW4:AX23,2,FALSE)</f>
        <v>0.46500000000000002</v>
      </c>
    </row>
    <row r="40" spans="1:50" x14ac:dyDescent="0.25">
      <c r="H40" s="380"/>
      <c r="Q40" s="360"/>
      <c r="R40" s="361"/>
      <c r="S40" s="361"/>
      <c r="T40" s="398"/>
      <c r="U40" s="361"/>
      <c r="V40" s="362"/>
      <c r="AT40" s="309"/>
      <c r="AU40" s="309"/>
      <c r="AV40" s="309"/>
      <c r="AW40" s="309"/>
      <c r="AX40" s="309"/>
    </row>
    <row r="41" spans="1:50" ht="18" x14ac:dyDescent="0.35">
      <c r="Q41" s="360" t="s">
        <v>273</v>
      </c>
      <c r="R41" s="361"/>
      <c r="S41" s="361"/>
      <c r="T41" s="401">
        <f>(1-((0.7*B3)/(B2+T15*T25*_xlfn.COT(T24*PI()/180))))^3</f>
        <v>0.96904738205877794</v>
      </c>
      <c r="U41" s="361" t="s">
        <v>116</v>
      </c>
      <c r="V41" s="362"/>
      <c r="AT41" s="309"/>
      <c r="AU41" s="379">
        <f>(AU39-AU38)/2.5</f>
        <v>2.9999999999999982E-2</v>
      </c>
      <c r="AV41" s="309"/>
      <c r="AW41" s="309"/>
      <c r="AX41" s="309">
        <f>(AX39-AX38)/2.5</f>
        <v>6.4000000000000055E-3</v>
      </c>
    </row>
    <row r="42" spans="1:50" ht="18" x14ac:dyDescent="0.35">
      <c r="Q42" s="360" t="s">
        <v>274</v>
      </c>
      <c r="R42" s="361"/>
      <c r="S42" s="361"/>
      <c r="T42" s="401">
        <f>(T41*T33-1)/(T33-1)</f>
        <v>0.95706270993144726</v>
      </c>
      <c r="U42" s="361" t="s">
        <v>116</v>
      </c>
      <c r="V42" s="362"/>
      <c r="AT42" s="309" t="s">
        <v>251</v>
      </c>
      <c r="AU42" s="310">
        <f>T10</f>
        <v>9.8325222197501953E-3</v>
      </c>
      <c r="AV42" s="309"/>
      <c r="AW42" s="309"/>
      <c r="AX42" s="309"/>
    </row>
    <row r="43" spans="1:50" ht="18" x14ac:dyDescent="0.35">
      <c r="Q43" s="360" t="s">
        <v>275</v>
      </c>
      <c r="R43" s="361"/>
      <c r="S43" s="361"/>
      <c r="T43" s="401">
        <f>(1-((B3)/(B2+T15*T25*_xlfn.COT(T24*PI()/180))))^3</f>
        <v>0.95597993973848894</v>
      </c>
      <c r="U43" s="361" t="s">
        <v>116</v>
      </c>
      <c r="V43" s="362"/>
      <c r="AT43" s="309" t="s">
        <v>252</v>
      </c>
      <c r="AU43" s="379">
        <f>AU37-(AU37-AX37)*AU42</f>
        <v>1.0690021614459524</v>
      </c>
      <c r="AV43" s="309"/>
      <c r="AW43" s="309"/>
      <c r="AX43" s="309"/>
    </row>
    <row r="44" spans="1:50" ht="15.75" thickBot="1" x14ac:dyDescent="0.3">
      <c r="Q44" s="372"/>
      <c r="R44" s="373"/>
      <c r="S44" s="373"/>
      <c r="T44" s="373"/>
      <c r="U44" s="373"/>
      <c r="V44" s="374"/>
      <c r="AT44" s="250"/>
      <c r="AU44" s="250"/>
      <c r="AV44" s="250"/>
      <c r="AW44" s="250"/>
      <c r="AX44" s="250"/>
    </row>
    <row r="45" spans="1:50" ht="15.75" thickBot="1" x14ac:dyDescent="0.3">
      <c r="Q45" s="356" t="s">
        <v>280</v>
      </c>
      <c r="R45" s="357"/>
      <c r="S45" s="357"/>
      <c r="T45" s="357"/>
      <c r="U45" s="357"/>
      <c r="V45" s="358"/>
      <c r="AT45" s="250"/>
      <c r="AU45" s="250"/>
      <c r="AV45" s="250"/>
      <c r="AW45" s="250"/>
      <c r="AX45" s="250"/>
    </row>
    <row r="46" spans="1:50" ht="18" x14ac:dyDescent="0.35">
      <c r="Q46" s="360" t="s">
        <v>277</v>
      </c>
      <c r="R46" s="361"/>
      <c r="S46" s="361"/>
      <c r="T46" s="375">
        <f>T25*T34*T38*T30*T42+T28*T33*T37*T29*T41+0.5*T26*T13*T35*T39*T31*T43</f>
        <v>127.49354162411005</v>
      </c>
      <c r="U46" s="376" t="s">
        <v>104</v>
      </c>
      <c r="V46" s="362"/>
      <c r="AT46" s="381" t="s">
        <v>253</v>
      </c>
      <c r="AU46" s="382" t="s">
        <v>254</v>
      </c>
      <c r="AV46" s="382" t="s">
        <v>255</v>
      </c>
      <c r="AW46" s="383" t="s">
        <v>256</v>
      </c>
      <c r="AX46" s="250"/>
    </row>
    <row r="47" spans="1:50" ht="18" x14ac:dyDescent="0.35">
      <c r="Q47" s="360" t="s">
        <v>276</v>
      </c>
      <c r="R47" s="361"/>
      <c r="S47" s="361"/>
      <c r="T47" s="367">
        <f>T9/T15</f>
        <v>59.206302092682769</v>
      </c>
      <c r="U47" s="376" t="s">
        <v>104</v>
      </c>
      <c r="V47" s="362"/>
      <c r="AT47" s="384">
        <v>15</v>
      </c>
      <c r="AU47" s="385">
        <v>10.9</v>
      </c>
      <c r="AV47" s="385">
        <v>3.9</v>
      </c>
      <c r="AW47" s="386">
        <v>1.6</v>
      </c>
      <c r="AX47" s="250"/>
    </row>
    <row r="48" spans="1:50" x14ac:dyDescent="0.25">
      <c r="Q48" s="360"/>
      <c r="R48" s="361"/>
      <c r="S48" s="361"/>
      <c r="T48" s="361"/>
      <c r="U48" s="361"/>
      <c r="V48" s="362"/>
      <c r="AT48" s="387">
        <v>20</v>
      </c>
      <c r="AU48" s="388">
        <v>14.8</v>
      </c>
      <c r="AV48" s="388">
        <v>6.4</v>
      </c>
      <c r="AW48" s="389">
        <v>3.9</v>
      </c>
      <c r="AX48" s="250"/>
    </row>
    <row r="49" spans="17:50" x14ac:dyDescent="0.25">
      <c r="Q49" s="360" t="s">
        <v>278</v>
      </c>
      <c r="R49" s="363">
        <f>T47/T46</f>
        <v>0.4643866766776395</v>
      </c>
      <c r="S49" s="377" t="s">
        <v>279</v>
      </c>
      <c r="T49" s="363">
        <v>1</v>
      </c>
      <c r="U49" s="361" t="s">
        <v>116</v>
      </c>
      <c r="V49" s="362"/>
      <c r="AT49" s="384">
        <v>22.5</v>
      </c>
      <c r="AU49" s="385">
        <v>17.399999999999999</v>
      </c>
      <c r="AV49" s="385">
        <v>8.1999999999999993</v>
      </c>
      <c r="AW49" s="386">
        <v>6</v>
      </c>
      <c r="AX49" s="250"/>
    </row>
    <row r="50" spans="17:50" ht="15.75" thickBot="1" x14ac:dyDescent="0.3">
      <c r="Q50" s="372"/>
      <c r="R50" s="373"/>
      <c r="S50" s="373"/>
      <c r="T50" s="373" t="str">
        <f>IF(R49&lt;=T49,"Voldoet","Voldoet niet")</f>
        <v>Voldoet</v>
      </c>
      <c r="U50" s="373"/>
      <c r="V50" s="374"/>
      <c r="AT50" s="387">
        <v>25</v>
      </c>
      <c r="AU50" s="388">
        <v>20.6</v>
      </c>
      <c r="AV50" s="388">
        <v>10.6</v>
      </c>
      <c r="AW50" s="389">
        <v>9</v>
      </c>
      <c r="AX50" s="250"/>
    </row>
    <row r="51" spans="17:50" x14ac:dyDescent="0.25">
      <c r="AT51" s="384">
        <v>27.5</v>
      </c>
      <c r="AU51" s="385">
        <v>24.8</v>
      </c>
      <c r="AV51" s="385">
        <v>13.9</v>
      </c>
      <c r="AW51" s="386">
        <v>13.4</v>
      </c>
      <c r="AX51" s="250"/>
    </row>
    <row r="52" spans="17:50" x14ac:dyDescent="0.25">
      <c r="AT52" s="387">
        <v>30</v>
      </c>
      <c r="AU52" s="388">
        <v>30</v>
      </c>
      <c r="AV52" s="388">
        <v>18.3</v>
      </c>
      <c r="AW52" s="389">
        <v>20</v>
      </c>
      <c r="AX52" s="250"/>
    </row>
    <row r="53" spans="17:50" x14ac:dyDescent="0.25">
      <c r="AT53" s="384">
        <v>32.5</v>
      </c>
      <c r="AU53" s="385">
        <v>36.9</v>
      </c>
      <c r="AV53" s="385">
        <v>24.5</v>
      </c>
      <c r="AW53" s="386">
        <v>29.9</v>
      </c>
      <c r="AX53" s="250"/>
    </row>
    <row r="54" spans="17:50" x14ac:dyDescent="0.25">
      <c r="AT54" s="390">
        <v>35</v>
      </c>
      <c r="AU54" s="391">
        <v>45.9</v>
      </c>
      <c r="AV54" s="391">
        <v>33.1</v>
      </c>
      <c r="AW54" s="392">
        <v>45</v>
      </c>
      <c r="AX54" s="250"/>
    </row>
  </sheetData>
  <sheetProtection algorithmName="SHA-512" hashValue="rVKEHC0cJFjsaOYUVk/2KYfPTs797pSgPh0croVZP5dEvo75qRR5DggVR1YjalO+tgsCFoK6Hx98Wtnyfu0GfQ==" saltValue="IC6IYw74QWe7ALCsWKKLeA==" spinCount="100000" sheet="1" objects="1" scenarios="1"/>
  <mergeCells count="1">
    <mergeCell ref="A19:D23"/>
  </mergeCells>
  <conditionalFormatting sqref="H37">
    <cfRule type="cellIs" dxfId="7" priority="5" operator="equal">
      <formula>"Voldoet niet"</formula>
    </cfRule>
    <cfRule type="cellIs" dxfId="6" priority="7" operator="equal">
      <formula>"Voldoet"</formula>
    </cfRule>
  </conditionalFormatting>
  <conditionalFormatting sqref="N37">
    <cfRule type="cellIs" dxfId="5" priority="3" operator="equal">
      <formula>"Voldoet niet"</formula>
    </cfRule>
    <cfRule type="cellIs" dxfId="4" priority="4" operator="equal">
      <formula>"Voldoet"</formula>
    </cfRule>
  </conditionalFormatting>
  <conditionalFormatting sqref="T50">
    <cfRule type="cellIs" dxfId="3" priority="1" operator="equal">
      <formula>"Voldoet niet"</formula>
    </cfRule>
    <cfRule type="cellIs" dxfId="2" priority="2" operator="equal">
      <formula>"Voldoet"</formula>
    </cfRule>
  </conditionalFormatting>
  <pageMargins left="0.7" right="0.7" top="0.75" bottom="0.75" header="0.3" footer="0.3"/>
  <pageSetup paperSize="8" scale="86"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3435CAC-FA8B-417E-B9CA-FDF12B072BF2}">
          <x14:formula1>
            <xm:f>'Invoer 4 - Grondeigenschappen'!$AG$10:$AG$16</xm:f>
          </x14:formula1>
          <xm:sqref>B17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B8CE-B0EC-4780-9173-1AE0D7E2B83C}">
  <sheetPr>
    <tabColor rgb="FF0061AD"/>
  </sheetPr>
  <dimension ref="A1:J123"/>
  <sheetViews>
    <sheetView zoomScaleNormal="100" workbookViewId="0">
      <selection activeCell="M18" sqref="M18"/>
    </sheetView>
  </sheetViews>
  <sheetFormatPr defaultRowHeight="12.75" x14ac:dyDescent="0.2"/>
  <cols>
    <col min="1" max="9" width="9.28515625" style="93" customWidth="1"/>
    <col min="10" max="10" width="9.140625" style="93" customWidth="1"/>
    <col min="11" max="16384" width="9.140625" style="93"/>
  </cols>
  <sheetData>
    <row r="1" spans="1:10" x14ac:dyDescent="0.2">
      <c r="A1" s="91" t="s">
        <v>302</v>
      </c>
      <c r="B1" s="92"/>
      <c r="C1" s="92"/>
      <c r="D1" s="92"/>
      <c r="E1" s="92"/>
      <c r="F1" s="92"/>
      <c r="G1" s="92"/>
      <c r="H1" s="92"/>
      <c r="I1" s="92"/>
      <c r="J1" s="101"/>
    </row>
    <row r="2" spans="1:10" x14ac:dyDescent="0.2">
      <c r="A2" s="93" t="s">
        <v>296</v>
      </c>
      <c r="C2" s="129"/>
    </row>
    <row r="3" spans="1:10" x14ac:dyDescent="0.2">
      <c r="A3" s="93" t="s">
        <v>297</v>
      </c>
      <c r="C3" s="129"/>
    </row>
    <row r="4" spans="1:10" x14ac:dyDescent="0.2">
      <c r="A4" s="93" t="s">
        <v>298</v>
      </c>
      <c r="C4" s="129"/>
    </row>
    <row r="5" spans="1:10" x14ac:dyDescent="0.2">
      <c r="A5" s="93" t="s">
        <v>299</v>
      </c>
      <c r="C5" s="503"/>
      <c r="D5" s="503"/>
    </row>
    <row r="6" spans="1:10" x14ac:dyDescent="0.2">
      <c r="A6" s="93" t="s">
        <v>300</v>
      </c>
      <c r="C6" s="129"/>
    </row>
    <row r="8" spans="1:10" x14ac:dyDescent="0.2">
      <c r="A8" s="91" t="s">
        <v>301</v>
      </c>
      <c r="B8" s="92"/>
      <c r="C8" s="92"/>
      <c r="D8" s="92"/>
      <c r="E8" s="92"/>
      <c r="F8" s="92"/>
      <c r="G8" s="92"/>
      <c r="H8" s="92"/>
      <c r="I8" s="92"/>
    </row>
    <row r="9" spans="1:10" x14ac:dyDescent="0.2">
      <c r="A9" s="93" t="s">
        <v>335</v>
      </c>
    </row>
    <row r="10" spans="1:10" x14ac:dyDescent="0.2">
      <c r="A10" s="93" t="s">
        <v>303</v>
      </c>
    </row>
    <row r="12" spans="1:10" x14ac:dyDescent="0.2">
      <c r="A12" s="91" t="s">
        <v>304</v>
      </c>
      <c r="B12" s="94"/>
      <c r="C12" s="94"/>
      <c r="D12" s="94"/>
      <c r="E12" s="94"/>
      <c r="F12" s="94"/>
      <c r="G12" s="94"/>
      <c r="H12" s="94"/>
      <c r="I12" s="94"/>
    </row>
    <row r="13" spans="1:10" x14ac:dyDescent="0.2">
      <c r="A13" s="93" t="s">
        <v>501</v>
      </c>
    </row>
    <row r="14" spans="1:10" x14ac:dyDescent="0.2">
      <c r="A14" s="93" t="s">
        <v>502</v>
      </c>
    </row>
    <row r="16" spans="1:10" x14ac:dyDescent="0.2">
      <c r="A16" s="91" t="s">
        <v>305</v>
      </c>
      <c r="B16" s="94"/>
      <c r="C16" s="94"/>
      <c r="D16" s="94"/>
      <c r="E16" s="94"/>
      <c r="F16" s="94"/>
      <c r="G16" s="94"/>
      <c r="H16" s="94"/>
      <c r="I16" s="94" t="s">
        <v>333</v>
      </c>
    </row>
    <row r="17" spans="1:9" x14ac:dyDescent="0.2">
      <c r="A17" s="93" t="s">
        <v>306</v>
      </c>
      <c r="F17" s="95">
        <f>'Invoer 4 - Grondeigenschappen'!C2</f>
        <v>-1.55</v>
      </c>
      <c r="G17" s="93" t="s">
        <v>240</v>
      </c>
      <c r="I17" s="96"/>
    </row>
    <row r="18" spans="1:9" x14ac:dyDescent="0.2">
      <c r="A18" s="93" t="s">
        <v>307</v>
      </c>
      <c r="F18" s="95">
        <f>'Invoer 4 - Grondeigenschappen'!C3</f>
        <v>-2</v>
      </c>
      <c r="G18" s="93" t="s">
        <v>240</v>
      </c>
      <c r="I18" s="97"/>
    </row>
    <row r="19" spans="1:9" x14ac:dyDescent="0.2">
      <c r="A19" s="93" t="s">
        <v>315</v>
      </c>
      <c r="F19" s="95" t="str">
        <f>'Invoer 4 - Grondeigenschappen'!C4</f>
        <v>Ja</v>
      </c>
    </row>
    <row r="20" spans="1:9" x14ac:dyDescent="0.2">
      <c r="F20" s="98"/>
    </row>
    <row r="21" spans="1:9" x14ac:dyDescent="0.2">
      <c r="A21" s="93" t="s">
        <v>308</v>
      </c>
      <c r="F21" s="95">
        <f>'Invoer 4 - Grondeigenschappen'!C5</f>
        <v>0</v>
      </c>
      <c r="G21" s="93" t="s">
        <v>15</v>
      </c>
      <c r="I21" s="96"/>
    </row>
    <row r="22" spans="1:9" x14ac:dyDescent="0.2">
      <c r="A22" s="93" t="s">
        <v>309</v>
      </c>
      <c r="F22" s="95">
        <f>'Invoer 4 - Grondeigenschappen'!B10</f>
        <v>-1.55</v>
      </c>
      <c r="G22" s="93" t="s">
        <v>240</v>
      </c>
      <c r="I22" s="96"/>
    </row>
    <row r="24" spans="1:9" x14ac:dyDescent="0.2">
      <c r="A24" s="93" t="s">
        <v>316</v>
      </c>
    </row>
    <row r="25" spans="1:9" x14ac:dyDescent="0.2">
      <c r="A25" s="93" t="s">
        <v>317</v>
      </c>
      <c r="B25" s="95">
        <f>'Invoer 4 - Grondeigenschappen'!D11</f>
        <v>0.44999999999999996</v>
      </c>
      <c r="C25" s="93" t="s">
        <v>318</v>
      </c>
      <c r="D25" s="93" t="str">
        <f>'Invoer 4 - Grondeigenschappen'!E11</f>
        <v>Zand</v>
      </c>
    </row>
    <row r="26" spans="1:9" x14ac:dyDescent="0.2">
      <c r="A26" s="93" t="s">
        <v>319</v>
      </c>
      <c r="B26" s="95">
        <f>'Invoer 4 - Grondeigenschappen'!D12</f>
        <v>1.5</v>
      </c>
      <c r="C26" s="93" t="s">
        <v>318</v>
      </c>
      <c r="D26" s="93" t="str">
        <f>'Invoer 4 - Grondeigenschappen'!E12</f>
        <v>Zand</v>
      </c>
    </row>
    <row r="27" spans="1:9" x14ac:dyDescent="0.2">
      <c r="A27" s="93" t="s">
        <v>319</v>
      </c>
      <c r="B27" s="95">
        <f>'Invoer 4 - Grondeigenschappen'!D13</f>
        <v>3</v>
      </c>
      <c r="C27" s="93" t="s">
        <v>318</v>
      </c>
      <c r="D27" s="93" t="str">
        <f>'Invoer 4 - Grondeigenschappen'!E13</f>
        <v>Veen</v>
      </c>
    </row>
    <row r="29" spans="1:9" x14ac:dyDescent="0.2">
      <c r="A29" s="91" t="s">
        <v>320</v>
      </c>
      <c r="B29" s="94"/>
      <c r="C29" s="94"/>
      <c r="D29" s="94"/>
      <c r="E29" s="94"/>
      <c r="F29" s="94"/>
      <c r="G29" s="94"/>
      <c r="H29" s="94"/>
      <c r="I29" s="94" t="s">
        <v>333</v>
      </c>
    </row>
    <row r="30" spans="1:9" x14ac:dyDescent="0.2">
      <c r="A30" s="93" t="s">
        <v>321</v>
      </c>
      <c r="F30" s="93" t="str">
        <f>'Invoer 1 - Kraangegevens'!D1</f>
        <v>CX700</v>
      </c>
      <c r="I30" s="96"/>
    </row>
    <row r="31" spans="1:9" x14ac:dyDescent="0.2">
      <c r="A31" s="93" t="s">
        <v>322</v>
      </c>
      <c r="F31" s="93" t="str">
        <f>'Invoer 1 - Kraangegevens'!K43</f>
        <v>ICE 18RF</v>
      </c>
      <c r="I31" s="96"/>
    </row>
    <row r="32" spans="1:9" x14ac:dyDescent="0.2">
      <c r="A32" s="93" t="s">
        <v>323</v>
      </c>
      <c r="E32" s="99" t="s">
        <v>44</v>
      </c>
      <c r="F32" s="98" t="str">
        <f>'Invoer 1 - Kraangegevens'!K1</f>
        <v>Buispaal</v>
      </c>
      <c r="I32" s="96"/>
    </row>
    <row r="33" spans="1:9" x14ac:dyDescent="0.2">
      <c r="E33" s="99" t="s">
        <v>1</v>
      </c>
      <c r="F33" s="98">
        <f>'Invoer 1 - Kraangegevens'!K3</f>
        <v>15</v>
      </c>
      <c r="G33" s="93" t="s">
        <v>15</v>
      </c>
      <c r="I33" s="96"/>
    </row>
    <row r="34" spans="1:9" x14ac:dyDescent="0.2">
      <c r="E34" s="99" t="s">
        <v>324</v>
      </c>
      <c r="F34" s="95">
        <f>'Invoer 1 - Kraangegevens'!K4</f>
        <v>1.4</v>
      </c>
      <c r="G34" s="93" t="s">
        <v>15</v>
      </c>
    </row>
    <row r="35" spans="1:9" x14ac:dyDescent="0.2">
      <c r="E35" s="99" t="s">
        <v>2</v>
      </c>
      <c r="F35" s="130">
        <f>'Invoer 1 - Kraangegevens'!K6</f>
        <v>60.1</v>
      </c>
      <c r="G35" s="93" t="s">
        <v>12</v>
      </c>
    </row>
    <row r="37" spans="1:9" x14ac:dyDescent="0.2">
      <c r="A37" s="93" t="s">
        <v>0</v>
      </c>
      <c r="F37" s="99" t="str">
        <f>'Invoer 1 - Kraangegevens'!K16</f>
        <v>Staal 12x1,2x0,3</v>
      </c>
      <c r="G37" s="93" t="s">
        <v>337</v>
      </c>
      <c r="I37" s="96"/>
    </row>
    <row r="39" spans="1:9" x14ac:dyDescent="0.2">
      <c r="A39" s="93" t="s">
        <v>325</v>
      </c>
      <c r="F39" s="93">
        <f>'Invoer 3 - Funderingsoppervlak'!F5</f>
        <v>0</v>
      </c>
      <c r="G39" s="93" t="s">
        <v>28</v>
      </c>
    </row>
    <row r="40" spans="1:9" x14ac:dyDescent="0.2">
      <c r="A40" s="93" t="s">
        <v>357</v>
      </c>
      <c r="F40" s="100">
        <f>'Invoer 3 - Funderingsoppervlak'!F15</f>
        <v>1</v>
      </c>
      <c r="G40" s="93" t="s">
        <v>15</v>
      </c>
    </row>
    <row r="41" spans="1:9" x14ac:dyDescent="0.2">
      <c r="F41" s="101"/>
    </row>
    <row r="42" spans="1:9" ht="15" x14ac:dyDescent="0.2">
      <c r="A42" s="93" t="s">
        <v>326</v>
      </c>
      <c r="F42" s="95">
        <f>'Overzicht rekenresultaten'!E14</f>
        <v>39.776848006680488</v>
      </c>
      <c r="G42" s="101" t="s">
        <v>334</v>
      </c>
    </row>
    <row r="43" spans="1:9" ht="15" x14ac:dyDescent="0.2">
      <c r="A43" s="93" t="s">
        <v>327</v>
      </c>
      <c r="F43" s="95">
        <f>'Overzicht rekenresultaten'!E15</f>
        <v>3.830645161290323</v>
      </c>
      <c r="G43" s="101" t="s">
        <v>334</v>
      </c>
    </row>
    <row r="44" spans="1:9" ht="15" x14ac:dyDescent="0.2">
      <c r="A44" s="93" t="s">
        <v>328</v>
      </c>
      <c r="F44" s="95">
        <f>'Overzicht rekenresultaten'!E16</f>
        <v>43.607493167970809</v>
      </c>
      <c r="G44" s="101" t="s">
        <v>334</v>
      </c>
    </row>
    <row r="45" spans="1:9" x14ac:dyDescent="0.2">
      <c r="F45" s="101"/>
    </row>
    <row r="46" spans="1:9" x14ac:dyDescent="0.2">
      <c r="A46" s="91" t="s">
        <v>329</v>
      </c>
      <c r="B46" s="94"/>
      <c r="C46" s="94"/>
      <c r="D46" s="94"/>
      <c r="E46" s="94"/>
      <c r="F46" s="94"/>
      <c r="G46" s="94"/>
      <c r="H46" s="94"/>
      <c r="I46" s="94"/>
    </row>
    <row r="47" spans="1:9" ht="15" x14ac:dyDescent="0.2">
      <c r="A47" s="93" t="s">
        <v>330</v>
      </c>
      <c r="F47" s="95">
        <f>'Invoer 5 - Draagvermogen'!H33</f>
        <v>59.011931270108711</v>
      </c>
      <c r="G47" s="101" t="s">
        <v>334</v>
      </c>
      <c r="H47" s="93" t="str">
        <f>IF(F44&lt;=F47,"Voldoet","Voldoet niet")</f>
        <v>Voldoet</v>
      </c>
    </row>
    <row r="48" spans="1:9" ht="15" x14ac:dyDescent="0.2">
      <c r="A48" s="93" t="s">
        <v>331</v>
      </c>
      <c r="F48" s="95">
        <f>IFERROR('Invoer 5 - Draagvermogen'!N33,"-")</f>
        <v>90.795519672831801</v>
      </c>
      <c r="G48" s="101" t="s">
        <v>334</v>
      </c>
      <c r="H48" s="93" t="str">
        <f>IF(F44&lt;=F48,"Voldoet","Voldoet niet")</f>
        <v>Voldoet</v>
      </c>
    </row>
    <row r="49" spans="1:9" ht="15" x14ac:dyDescent="0.2">
      <c r="A49" s="93" t="s">
        <v>332</v>
      </c>
      <c r="F49" s="95">
        <f>'Invoer 5 - Draagvermogen'!T46</f>
        <v>127.49354162411005</v>
      </c>
      <c r="G49" s="101" t="s">
        <v>334</v>
      </c>
      <c r="H49" s="93" t="str">
        <f>IF(F44&lt;=F49,"Voldoet","Voldoet niet")</f>
        <v>Voldoet</v>
      </c>
    </row>
    <row r="54" spans="1:9" x14ac:dyDescent="0.2">
      <c r="A54" s="91" t="s">
        <v>336</v>
      </c>
      <c r="B54" s="94"/>
      <c r="C54" s="94"/>
      <c r="D54" s="94"/>
      <c r="E54" s="94"/>
      <c r="F54" s="94"/>
      <c r="G54" s="94"/>
      <c r="H54" s="94"/>
      <c r="I54" s="94" t="s">
        <v>333</v>
      </c>
    </row>
    <row r="55" spans="1:9" x14ac:dyDescent="0.2">
      <c r="A55" s="93" t="s">
        <v>338</v>
      </c>
    </row>
    <row r="56" spans="1:9" x14ac:dyDescent="0.2">
      <c r="A56" s="93" t="s">
        <v>339</v>
      </c>
      <c r="F56" s="100">
        <f>F22</f>
        <v>-1.55</v>
      </c>
      <c r="G56" s="93" t="s">
        <v>240</v>
      </c>
      <c r="I56" s="96"/>
    </row>
    <row r="57" spans="1:9" x14ac:dyDescent="0.2">
      <c r="A57" s="93" t="s">
        <v>340</v>
      </c>
      <c r="F57" s="100">
        <f>F18</f>
        <v>-2</v>
      </c>
      <c r="G57" s="93" t="s">
        <v>240</v>
      </c>
      <c r="I57" s="96"/>
    </row>
    <row r="59" spans="1:9" x14ac:dyDescent="0.2">
      <c r="A59" s="93" t="s">
        <v>342</v>
      </c>
      <c r="F59" s="99" t="str">
        <f>F37</f>
        <v>Staal 12x1,2x0,3</v>
      </c>
      <c r="G59" s="93" t="s">
        <v>337</v>
      </c>
      <c r="I59" s="96"/>
    </row>
    <row r="60" spans="1:9" x14ac:dyDescent="0.2">
      <c r="A60" s="93" t="s">
        <v>341</v>
      </c>
      <c r="F60" s="100">
        <f>F40</f>
        <v>1</v>
      </c>
      <c r="G60" s="93" t="s">
        <v>15</v>
      </c>
      <c r="I60" s="96"/>
    </row>
    <row r="63" spans="1:9" x14ac:dyDescent="0.2">
      <c r="A63" s="91" t="s">
        <v>343</v>
      </c>
      <c r="B63" s="94"/>
      <c r="C63" s="94"/>
      <c r="D63" s="94"/>
      <c r="E63" s="94"/>
      <c r="F63" s="94"/>
      <c r="G63" s="94"/>
      <c r="H63" s="94"/>
      <c r="I63" s="94"/>
    </row>
    <row r="64" spans="1:9" ht="24.75" customHeight="1" x14ac:dyDescent="0.2">
      <c r="A64" s="502" t="s">
        <v>344</v>
      </c>
      <c r="B64" s="502"/>
      <c r="C64" s="502"/>
      <c r="D64" s="502"/>
      <c r="E64" s="502"/>
      <c r="F64" s="502"/>
      <c r="G64" s="502"/>
      <c r="H64" s="502"/>
      <c r="I64" s="502"/>
    </row>
    <row r="66" spans="1:9" x14ac:dyDescent="0.2">
      <c r="A66" s="102" t="s">
        <v>345</v>
      </c>
      <c r="B66" s="102" t="s">
        <v>346</v>
      </c>
      <c r="C66" s="103" t="s">
        <v>347</v>
      </c>
      <c r="D66" s="104"/>
      <c r="E66" s="102" t="s">
        <v>348</v>
      </c>
      <c r="F66" s="103" t="s">
        <v>349</v>
      </c>
      <c r="G66" s="107"/>
      <c r="H66" s="107"/>
      <c r="I66" s="104"/>
    </row>
    <row r="67" spans="1:9" x14ac:dyDescent="0.2">
      <c r="A67" s="97"/>
      <c r="B67" s="97"/>
      <c r="C67" s="105"/>
      <c r="D67" s="106"/>
      <c r="E67" s="97"/>
      <c r="F67" s="105" t="s">
        <v>350</v>
      </c>
      <c r="G67" s="108"/>
      <c r="H67" s="108"/>
      <c r="I67" s="106"/>
    </row>
    <row r="68" spans="1:9" x14ac:dyDescent="0.2">
      <c r="A68" s="103"/>
      <c r="B68" s="102"/>
      <c r="C68" s="107"/>
      <c r="D68" s="107"/>
      <c r="E68" s="102"/>
      <c r="F68" s="103"/>
      <c r="G68" s="107"/>
      <c r="H68" s="107"/>
      <c r="I68" s="104"/>
    </row>
    <row r="69" spans="1:9" x14ac:dyDescent="0.2">
      <c r="A69" s="109"/>
      <c r="B69" s="112"/>
      <c r="C69" s="110"/>
      <c r="D69" s="110"/>
      <c r="E69" s="112"/>
      <c r="F69" s="109"/>
      <c r="G69" s="110"/>
      <c r="H69" s="110"/>
      <c r="I69" s="111"/>
    </row>
    <row r="70" spans="1:9" x14ac:dyDescent="0.2">
      <c r="A70" s="109"/>
      <c r="B70" s="112"/>
      <c r="C70" s="110"/>
      <c r="D70" s="110"/>
      <c r="E70" s="112"/>
      <c r="F70" s="109"/>
      <c r="G70" s="110"/>
      <c r="H70" s="110"/>
      <c r="I70" s="111"/>
    </row>
    <row r="71" spans="1:9" x14ac:dyDescent="0.2">
      <c r="A71" s="105"/>
      <c r="B71" s="97"/>
      <c r="C71" s="108"/>
      <c r="D71" s="108"/>
      <c r="E71" s="97"/>
      <c r="F71" s="105"/>
      <c r="G71" s="108"/>
      <c r="H71" s="108"/>
      <c r="I71" s="106"/>
    </row>
    <row r="72" spans="1:9" x14ac:dyDescent="0.2">
      <c r="A72" s="103"/>
      <c r="B72" s="102"/>
      <c r="C72" s="107"/>
      <c r="D72" s="107"/>
      <c r="E72" s="102"/>
      <c r="F72" s="103"/>
      <c r="G72" s="107"/>
      <c r="H72" s="107"/>
      <c r="I72" s="104"/>
    </row>
    <row r="73" spans="1:9" x14ac:dyDescent="0.2">
      <c r="A73" s="109"/>
      <c r="B73" s="112"/>
      <c r="C73" s="110"/>
      <c r="D73" s="110"/>
      <c r="E73" s="112"/>
      <c r="F73" s="109"/>
      <c r="G73" s="110"/>
      <c r="H73" s="110"/>
      <c r="I73" s="111"/>
    </row>
    <row r="74" spans="1:9" x14ac:dyDescent="0.2">
      <c r="A74" s="109"/>
      <c r="B74" s="112"/>
      <c r="C74" s="110"/>
      <c r="D74" s="110"/>
      <c r="E74" s="112"/>
      <c r="F74" s="109"/>
      <c r="G74" s="110"/>
      <c r="H74" s="110"/>
      <c r="I74" s="111"/>
    </row>
    <row r="75" spans="1:9" x14ac:dyDescent="0.2">
      <c r="A75" s="105"/>
      <c r="B75" s="97"/>
      <c r="C75" s="108"/>
      <c r="D75" s="108"/>
      <c r="E75" s="97"/>
      <c r="F75" s="105"/>
      <c r="G75" s="108"/>
      <c r="H75" s="108"/>
      <c r="I75" s="106"/>
    </row>
    <row r="76" spans="1:9" x14ac:dyDescent="0.2">
      <c r="A76" s="103"/>
      <c r="B76" s="102"/>
      <c r="C76" s="107"/>
      <c r="D76" s="107"/>
      <c r="E76" s="102"/>
      <c r="F76" s="103"/>
      <c r="G76" s="107"/>
      <c r="H76" s="107"/>
      <c r="I76" s="104"/>
    </row>
    <row r="77" spans="1:9" x14ac:dyDescent="0.2">
      <c r="A77" s="109"/>
      <c r="B77" s="112"/>
      <c r="C77" s="110"/>
      <c r="D77" s="110"/>
      <c r="E77" s="112"/>
      <c r="F77" s="109"/>
      <c r="G77" s="110"/>
      <c r="H77" s="110"/>
      <c r="I77" s="111"/>
    </row>
    <row r="78" spans="1:9" x14ac:dyDescent="0.2">
      <c r="A78" s="109"/>
      <c r="B78" s="112"/>
      <c r="C78" s="110"/>
      <c r="D78" s="110"/>
      <c r="E78" s="112"/>
      <c r="F78" s="109"/>
      <c r="G78" s="110"/>
      <c r="H78" s="110"/>
      <c r="I78" s="111"/>
    </row>
    <row r="79" spans="1:9" x14ac:dyDescent="0.2">
      <c r="A79" s="105"/>
      <c r="B79" s="97"/>
      <c r="C79" s="108"/>
      <c r="D79" s="108"/>
      <c r="E79" s="97"/>
      <c r="F79" s="105"/>
      <c r="G79" s="108"/>
      <c r="H79" s="108"/>
      <c r="I79" s="106"/>
    </row>
    <row r="80" spans="1:9" x14ac:dyDescent="0.2">
      <c r="A80" s="103"/>
      <c r="B80" s="102"/>
      <c r="C80" s="107"/>
      <c r="D80" s="107"/>
      <c r="E80" s="102"/>
      <c r="F80" s="103"/>
      <c r="G80" s="107"/>
      <c r="H80" s="107"/>
      <c r="I80" s="104"/>
    </row>
    <row r="81" spans="1:9" x14ac:dyDescent="0.2">
      <c r="A81" s="109"/>
      <c r="B81" s="112"/>
      <c r="C81" s="110"/>
      <c r="D81" s="110"/>
      <c r="E81" s="112"/>
      <c r="F81" s="109"/>
      <c r="G81" s="110"/>
      <c r="H81" s="110"/>
      <c r="I81" s="111"/>
    </row>
    <row r="82" spans="1:9" x14ac:dyDescent="0.2">
      <c r="A82" s="109"/>
      <c r="B82" s="112"/>
      <c r="C82" s="110"/>
      <c r="D82" s="110"/>
      <c r="E82" s="112"/>
      <c r="F82" s="109"/>
      <c r="G82" s="110"/>
      <c r="H82" s="110"/>
      <c r="I82" s="111"/>
    </row>
    <row r="83" spans="1:9" x14ac:dyDescent="0.2">
      <c r="A83" s="105"/>
      <c r="B83" s="97"/>
      <c r="C83" s="108"/>
      <c r="D83" s="108"/>
      <c r="E83" s="97"/>
      <c r="F83" s="105"/>
      <c r="G83" s="108"/>
      <c r="H83" s="108"/>
      <c r="I83" s="106"/>
    </row>
    <row r="84" spans="1:9" x14ac:dyDescent="0.2">
      <c r="A84" s="103"/>
      <c r="B84" s="102"/>
      <c r="C84" s="107"/>
      <c r="D84" s="107"/>
      <c r="E84" s="102"/>
      <c r="F84" s="103"/>
      <c r="G84" s="107"/>
      <c r="H84" s="107"/>
      <c r="I84" s="104"/>
    </row>
    <row r="85" spans="1:9" x14ac:dyDescent="0.2">
      <c r="A85" s="109"/>
      <c r="B85" s="112"/>
      <c r="C85" s="110"/>
      <c r="D85" s="110"/>
      <c r="E85" s="112"/>
      <c r="F85" s="109"/>
      <c r="G85" s="110"/>
      <c r="H85" s="110"/>
      <c r="I85" s="111"/>
    </row>
    <row r="86" spans="1:9" x14ac:dyDescent="0.2">
      <c r="A86" s="109"/>
      <c r="B86" s="112"/>
      <c r="C86" s="110"/>
      <c r="D86" s="110"/>
      <c r="E86" s="112"/>
      <c r="F86" s="109"/>
      <c r="G86" s="110"/>
      <c r="H86" s="110"/>
      <c r="I86" s="111"/>
    </row>
    <row r="87" spans="1:9" x14ac:dyDescent="0.2">
      <c r="A87" s="105"/>
      <c r="B87" s="97"/>
      <c r="C87" s="108"/>
      <c r="D87" s="108"/>
      <c r="E87" s="97"/>
      <c r="F87" s="105"/>
      <c r="G87" s="108"/>
      <c r="H87" s="108"/>
      <c r="I87" s="106"/>
    </row>
    <row r="88" spans="1:9" x14ac:dyDescent="0.2">
      <c r="A88" s="103"/>
      <c r="B88" s="102"/>
      <c r="C88" s="107"/>
      <c r="D88" s="107"/>
      <c r="E88" s="102"/>
      <c r="F88" s="103"/>
      <c r="G88" s="107"/>
      <c r="H88" s="107"/>
      <c r="I88" s="104"/>
    </row>
    <row r="89" spans="1:9" x14ac:dyDescent="0.2">
      <c r="A89" s="109"/>
      <c r="B89" s="112"/>
      <c r="C89" s="110"/>
      <c r="D89" s="110"/>
      <c r="E89" s="112"/>
      <c r="F89" s="109"/>
      <c r="G89" s="110"/>
      <c r="H89" s="110"/>
      <c r="I89" s="111"/>
    </row>
    <row r="90" spans="1:9" x14ac:dyDescent="0.2">
      <c r="A90" s="109"/>
      <c r="B90" s="112"/>
      <c r="C90" s="110"/>
      <c r="D90" s="110"/>
      <c r="E90" s="112"/>
      <c r="F90" s="109"/>
      <c r="G90" s="110"/>
      <c r="H90" s="110"/>
      <c r="I90" s="111"/>
    </row>
    <row r="91" spans="1:9" x14ac:dyDescent="0.2">
      <c r="A91" s="105"/>
      <c r="B91" s="97"/>
      <c r="C91" s="108"/>
      <c r="D91" s="108"/>
      <c r="E91" s="97"/>
      <c r="F91" s="105"/>
      <c r="G91" s="108"/>
      <c r="H91" s="108"/>
      <c r="I91" s="106"/>
    </row>
    <row r="92" spans="1:9" x14ac:dyDescent="0.2">
      <c r="A92" s="103"/>
      <c r="B92" s="102"/>
      <c r="C92" s="107"/>
      <c r="D92" s="107"/>
      <c r="E92" s="102"/>
      <c r="F92" s="103"/>
      <c r="G92" s="107"/>
      <c r="H92" s="107"/>
      <c r="I92" s="104"/>
    </row>
    <row r="93" spans="1:9" x14ac:dyDescent="0.2">
      <c r="A93" s="109"/>
      <c r="B93" s="112"/>
      <c r="C93" s="110"/>
      <c r="D93" s="110"/>
      <c r="E93" s="112"/>
      <c r="F93" s="109"/>
      <c r="G93" s="110"/>
      <c r="H93" s="110"/>
      <c r="I93" s="111"/>
    </row>
    <row r="94" spans="1:9" x14ac:dyDescent="0.2">
      <c r="A94" s="109"/>
      <c r="B94" s="112"/>
      <c r="C94" s="110"/>
      <c r="D94" s="110"/>
      <c r="E94" s="112"/>
      <c r="F94" s="109"/>
      <c r="G94" s="110"/>
      <c r="H94" s="110"/>
      <c r="I94" s="111"/>
    </row>
    <row r="95" spans="1:9" x14ac:dyDescent="0.2">
      <c r="A95" s="105"/>
      <c r="B95" s="97"/>
      <c r="C95" s="108"/>
      <c r="D95" s="108"/>
      <c r="E95" s="97"/>
      <c r="F95" s="105"/>
      <c r="G95" s="108"/>
      <c r="H95" s="108"/>
      <c r="I95" s="106"/>
    </row>
    <row r="96" spans="1:9" x14ac:dyDescent="0.2">
      <c r="A96" s="103"/>
      <c r="B96" s="102"/>
      <c r="C96" s="107"/>
      <c r="D96" s="107"/>
      <c r="E96" s="102"/>
      <c r="F96" s="103"/>
      <c r="G96" s="107"/>
      <c r="H96" s="107"/>
      <c r="I96" s="104"/>
    </row>
    <row r="97" spans="1:9" x14ac:dyDescent="0.2">
      <c r="A97" s="109"/>
      <c r="B97" s="112"/>
      <c r="C97" s="110"/>
      <c r="D97" s="110"/>
      <c r="E97" s="112"/>
      <c r="F97" s="109"/>
      <c r="G97" s="110"/>
      <c r="H97" s="110"/>
      <c r="I97" s="111"/>
    </row>
    <row r="98" spans="1:9" x14ac:dyDescent="0.2">
      <c r="A98" s="109"/>
      <c r="B98" s="112"/>
      <c r="C98" s="110"/>
      <c r="D98" s="110"/>
      <c r="E98" s="112"/>
      <c r="F98" s="109"/>
      <c r="G98" s="110"/>
      <c r="H98" s="110"/>
      <c r="I98" s="111"/>
    </row>
    <row r="99" spans="1:9" x14ac:dyDescent="0.2">
      <c r="A99" s="105"/>
      <c r="B99" s="97"/>
      <c r="C99" s="108"/>
      <c r="D99" s="108"/>
      <c r="E99" s="97"/>
      <c r="F99" s="105"/>
      <c r="G99" s="108"/>
      <c r="H99" s="108"/>
      <c r="I99" s="106"/>
    </row>
    <row r="100" spans="1:9" x14ac:dyDescent="0.2">
      <c r="A100" s="103"/>
      <c r="B100" s="102"/>
      <c r="C100" s="107"/>
      <c r="D100" s="107"/>
      <c r="E100" s="102"/>
      <c r="F100" s="103"/>
      <c r="G100" s="107"/>
      <c r="H100" s="107"/>
      <c r="I100" s="104"/>
    </row>
    <row r="101" spans="1:9" x14ac:dyDescent="0.2">
      <c r="A101" s="109"/>
      <c r="B101" s="112"/>
      <c r="C101" s="110"/>
      <c r="D101" s="110"/>
      <c r="E101" s="112"/>
      <c r="F101" s="109"/>
      <c r="G101" s="110"/>
      <c r="H101" s="110"/>
      <c r="I101" s="111"/>
    </row>
    <row r="102" spans="1:9" x14ac:dyDescent="0.2">
      <c r="A102" s="109"/>
      <c r="B102" s="112"/>
      <c r="C102" s="110"/>
      <c r="D102" s="110"/>
      <c r="E102" s="112"/>
      <c r="F102" s="109"/>
      <c r="G102" s="110"/>
      <c r="H102" s="110"/>
      <c r="I102" s="111"/>
    </row>
    <row r="103" spans="1:9" x14ac:dyDescent="0.2">
      <c r="A103" s="105"/>
      <c r="B103" s="97"/>
      <c r="C103" s="108"/>
      <c r="D103" s="108"/>
      <c r="E103" s="97"/>
      <c r="F103" s="105"/>
      <c r="G103" s="108"/>
      <c r="H103" s="108"/>
      <c r="I103" s="106"/>
    </row>
    <row r="104" spans="1:9" x14ac:dyDescent="0.2">
      <c r="A104" s="103"/>
      <c r="B104" s="102"/>
      <c r="C104" s="107"/>
      <c r="D104" s="107"/>
      <c r="E104" s="102"/>
      <c r="F104" s="103"/>
      <c r="G104" s="107"/>
      <c r="H104" s="107"/>
      <c r="I104" s="104"/>
    </row>
    <row r="105" spans="1:9" x14ac:dyDescent="0.2">
      <c r="A105" s="109"/>
      <c r="B105" s="112"/>
      <c r="C105" s="110"/>
      <c r="D105" s="110"/>
      <c r="E105" s="112"/>
      <c r="F105" s="109"/>
      <c r="G105" s="110"/>
      <c r="H105" s="110"/>
      <c r="I105" s="111"/>
    </row>
    <row r="106" spans="1:9" x14ac:dyDescent="0.2">
      <c r="A106" s="109"/>
      <c r="B106" s="112"/>
      <c r="C106" s="110"/>
      <c r="D106" s="110"/>
      <c r="E106" s="112"/>
      <c r="F106" s="109"/>
      <c r="G106" s="110"/>
      <c r="H106" s="110"/>
      <c r="I106" s="111"/>
    </row>
    <row r="107" spans="1:9" x14ac:dyDescent="0.2">
      <c r="A107" s="105"/>
      <c r="B107" s="97"/>
      <c r="C107" s="108"/>
      <c r="D107" s="108"/>
      <c r="E107" s="97"/>
      <c r="F107" s="105"/>
      <c r="G107" s="108"/>
      <c r="H107" s="108"/>
      <c r="I107" s="106"/>
    </row>
    <row r="108" spans="1:9" x14ac:dyDescent="0.2">
      <c r="A108" s="103"/>
      <c r="B108" s="102"/>
      <c r="C108" s="107"/>
      <c r="D108" s="107"/>
      <c r="E108" s="102"/>
      <c r="F108" s="103"/>
      <c r="G108" s="107"/>
      <c r="H108" s="107"/>
      <c r="I108" s="104"/>
    </row>
    <row r="109" spans="1:9" x14ac:dyDescent="0.2">
      <c r="A109" s="109"/>
      <c r="B109" s="112"/>
      <c r="C109" s="110"/>
      <c r="D109" s="110"/>
      <c r="E109" s="112"/>
      <c r="F109" s="109"/>
      <c r="G109" s="110"/>
      <c r="H109" s="110"/>
      <c r="I109" s="111"/>
    </row>
    <row r="110" spans="1:9" x14ac:dyDescent="0.2">
      <c r="A110" s="109"/>
      <c r="B110" s="112"/>
      <c r="C110" s="110"/>
      <c r="D110" s="110"/>
      <c r="E110" s="112"/>
      <c r="F110" s="109"/>
      <c r="G110" s="110"/>
      <c r="H110" s="110"/>
      <c r="I110" s="111"/>
    </row>
    <row r="111" spans="1:9" x14ac:dyDescent="0.2">
      <c r="A111" s="105"/>
      <c r="B111" s="97"/>
      <c r="C111" s="108"/>
      <c r="D111" s="108"/>
      <c r="E111" s="97"/>
      <c r="F111" s="105"/>
      <c r="G111" s="108"/>
      <c r="H111" s="108"/>
      <c r="I111" s="106"/>
    </row>
    <row r="112" spans="1:9" x14ac:dyDescent="0.2">
      <c r="A112" s="103"/>
      <c r="B112" s="102"/>
      <c r="C112" s="107"/>
      <c r="D112" s="107"/>
      <c r="E112" s="102"/>
      <c r="F112" s="103"/>
      <c r="G112" s="107"/>
      <c r="H112" s="107"/>
      <c r="I112" s="104"/>
    </row>
    <row r="113" spans="1:9" x14ac:dyDescent="0.2">
      <c r="A113" s="109"/>
      <c r="B113" s="112"/>
      <c r="C113" s="110"/>
      <c r="D113" s="110"/>
      <c r="E113" s="112"/>
      <c r="F113" s="109"/>
      <c r="G113" s="110"/>
      <c r="H113" s="110"/>
      <c r="I113" s="111"/>
    </row>
    <row r="114" spans="1:9" x14ac:dyDescent="0.2">
      <c r="A114" s="109"/>
      <c r="B114" s="112"/>
      <c r="C114" s="110"/>
      <c r="D114" s="110"/>
      <c r="E114" s="112"/>
      <c r="F114" s="109"/>
      <c r="G114" s="110"/>
      <c r="H114" s="110"/>
      <c r="I114" s="111"/>
    </row>
    <row r="115" spans="1:9" x14ac:dyDescent="0.2">
      <c r="A115" s="105"/>
      <c r="B115" s="97"/>
      <c r="C115" s="108"/>
      <c r="D115" s="108"/>
      <c r="E115" s="97"/>
      <c r="F115" s="105"/>
      <c r="G115" s="108"/>
      <c r="H115" s="108"/>
      <c r="I115" s="106"/>
    </row>
    <row r="116" spans="1:9" x14ac:dyDescent="0.2">
      <c r="A116" s="110"/>
      <c r="B116" s="110"/>
      <c r="C116" s="110"/>
      <c r="D116" s="110"/>
      <c r="E116" s="110"/>
      <c r="F116" s="110"/>
      <c r="G116" s="110"/>
      <c r="H116" s="110"/>
      <c r="I116" s="110"/>
    </row>
    <row r="117" spans="1:9" x14ac:dyDescent="0.2">
      <c r="A117" s="110"/>
      <c r="B117" s="110"/>
      <c r="C117" s="110"/>
      <c r="D117" s="110"/>
      <c r="E117" s="110"/>
      <c r="F117" s="110"/>
      <c r="G117" s="110"/>
      <c r="H117" s="110"/>
      <c r="I117" s="110"/>
    </row>
    <row r="118" spans="1:9" x14ac:dyDescent="0.2">
      <c r="A118" s="110"/>
      <c r="B118" s="110"/>
      <c r="C118" s="110"/>
      <c r="D118" s="110"/>
      <c r="E118" s="110"/>
      <c r="F118" s="110"/>
      <c r="G118" s="110"/>
      <c r="H118" s="110"/>
      <c r="I118" s="110"/>
    </row>
    <row r="119" spans="1:9" x14ac:dyDescent="0.2">
      <c r="A119" s="110"/>
      <c r="B119" s="110"/>
      <c r="C119" s="110"/>
      <c r="D119" s="110"/>
      <c r="E119" s="110"/>
      <c r="F119" s="110"/>
      <c r="G119" s="110"/>
      <c r="H119" s="110"/>
      <c r="I119" s="110"/>
    </row>
    <row r="120" spans="1:9" x14ac:dyDescent="0.2">
      <c r="A120" s="110"/>
      <c r="B120" s="110"/>
      <c r="C120" s="110"/>
      <c r="D120" s="110"/>
      <c r="E120" s="110"/>
      <c r="F120" s="110"/>
      <c r="G120" s="110"/>
      <c r="H120" s="110"/>
      <c r="I120" s="110"/>
    </row>
    <row r="121" spans="1:9" x14ac:dyDescent="0.2">
      <c r="A121" s="110"/>
      <c r="B121" s="110"/>
      <c r="C121" s="110"/>
      <c r="D121" s="110"/>
      <c r="E121" s="110"/>
      <c r="F121" s="110"/>
      <c r="G121" s="110"/>
      <c r="H121" s="110"/>
      <c r="I121" s="110"/>
    </row>
    <row r="122" spans="1:9" x14ac:dyDescent="0.2">
      <c r="A122" s="110"/>
      <c r="B122" s="110"/>
      <c r="C122" s="110"/>
      <c r="D122" s="110"/>
      <c r="E122" s="110"/>
      <c r="F122" s="110"/>
      <c r="G122" s="110"/>
      <c r="H122" s="110"/>
      <c r="I122" s="110"/>
    </row>
    <row r="123" spans="1:9" x14ac:dyDescent="0.2">
      <c r="A123" s="110"/>
      <c r="B123" s="110"/>
      <c r="C123" s="110"/>
      <c r="D123" s="110"/>
      <c r="E123" s="110"/>
      <c r="F123" s="110"/>
      <c r="G123" s="110"/>
      <c r="H123" s="110"/>
      <c r="I123" s="110"/>
    </row>
  </sheetData>
  <mergeCells count="2">
    <mergeCell ref="A64:I64"/>
    <mergeCell ref="C5:D5"/>
  </mergeCells>
  <conditionalFormatting sqref="H47:H49">
    <cfRule type="cellIs" dxfId="1" priority="1" operator="equal">
      <formula>"Voldoet niet"</formula>
    </cfRule>
    <cfRule type="cellIs" dxfId="0" priority="2" operator="equal">
      <formula>"Voldoet"</formula>
    </cfRule>
  </conditionalFormatting>
  <pageMargins left="0.70866141732283472" right="0.70866141732283472" top="1.5748031496062993" bottom="0.74803149606299213" header="0.31496062992125984" footer="0.31496062992125984"/>
  <pageSetup paperSize="9" orientation="portrait" r:id="rId1"/>
  <headerFooter>
    <oddHeader>&amp;L&amp;G</oddHeader>
    <oddFooter>&amp;RPagina &amp;P van &amp;N</oddFooter>
  </headerFooter>
  <rowBreaks count="1" manualBreakCount="1">
    <brk id="6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F60FA-181B-47DB-A8B6-807AC58A4869}">
  <dimension ref="A1:A82"/>
  <sheetViews>
    <sheetView topLeftCell="A55" workbookViewId="0">
      <selection activeCell="F58" sqref="F58"/>
    </sheetView>
  </sheetViews>
  <sheetFormatPr defaultRowHeight="15" x14ac:dyDescent="0.25"/>
  <cols>
    <col min="1" max="1" width="82.28515625" style="138" customWidth="1"/>
  </cols>
  <sheetData>
    <row r="1" spans="1:1" x14ac:dyDescent="0.25">
      <c r="A1" s="182" t="s">
        <v>371</v>
      </c>
    </row>
    <row r="2" spans="1:1" ht="75" x14ac:dyDescent="0.25">
      <c r="A2" s="139" t="s">
        <v>364</v>
      </c>
    </row>
    <row r="3" spans="1:1" ht="30" x14ac:dyDescent="0.25">
      <c r="A3" s="141" t="s">
        <v>365</v>
      </c>
    </row>
    <row r="4" spans="1:1" ht="45" x14ac:dyDescent="0.25">
      <c r="A4" s="141" t="s">
        <v>370</v>
      </c>
    </row>
    <row r="5" spans="1:1" ht="30" x14ac:dyDescent="0.25">
      <c r="A5" s="138" t="s">
        <v>366</v>
      </c>
    </row>
    <row r="7" spans="1:1" x14ac:dyDescent="0.25">
      <c r="A7" s="182" t="s">
        <v>372</v>
      </c>
    </row>
    <row r="8" spans="1:1" ht="45" x14ac:dyDescent="0.25">
      <c r="A8" s="138" t="s">
        <v>367</v>
      </c>
    </row>
    <row r="9" spans="1:1" x14ac:dyDescent="0.25">
      <c r="A9" s="138" t="s">
        <v>368</v>
      </c>
    </row>
    <row r="10" spans="1:1" x14ac:dyDescent="0.25">
      <c r="A10" s="138" t="s">
        <v>369</v>
      </c>
    </row>
    <row r="12" spans="1:1" x14ac:dyDescent="0.25">
      <c r="A12" s="142" t="s">
        <v>377</v>
      </c>
    </row>
    <row r="14" spans="1:1" x14ac:dyDescent="0.25">
      <c r="A14" s="182" t="s">
        <v>373</v>
      </c>
    </row>
    <row r="15" spans="1:1" x14ac:dyDescent="0.25">
      <c r="A15" s="138" t="s">
        <v>374</v>
      </c>
    </row>
    <row r="16" spans="1:1" ht="30" x14ac:dyDescent="0.25">
      <c r="A16" s="138" t="s">
        <v>375</v>
      </c>
    </row>
    <row r="17" spans="1:1" ht="31.5" customHeight="1" x14ac:dyDescent="0.25">
      <c r="A17" s="142" t="s">
        <v>376</v>
      </c>
    </row>
    <row r="18" spans="1:1" x14ac:dyDescent="0.25">
      <c r="A18" s="142"/>
    </row>
    <row r="19" spans="1:1" x14ac:dyDescent="0.25">
      <c r="A19" s="142" t="s">
        <v>377</v>
      </c>
    </row>
    <row r="20" spans="1:1" x14ac:dyDescent="0.25">
      <c r="A20" s="142"/>
    </row>
    <row r="21" spans="1:1" x14ac:dyDescent="0.25">
      <c r="A21" s="143" t="s">
        <v>378</v>
      </c>
    </row>
    <row r="22" spans="1:1" ht="30" x14ac:dyDescent="0.25">
      <c r="A22" s="138" t="s">
        <v>385</v>
      </c>
    </row>
    <row r="23" spans="1:1" ht="30" x14ac:dyDescent="0.25">
      <c r="A23" s="138" t="s">
        <v>386</v>
      </c>
    </row>
    <row r="24" spans="1:1" ht="30" x14ac:dyDescent="0.25">
      <c r="A24" s="138" t="s">
        <v>387</v>
      </c>
    </row>
    <row r="25" spans="1:1" x14ac:dyDescent="0.25">
      <c r="A25" s="142"/>
    </row>
    <row r="26" spans="1:1" x14ac:dyDescent="0.25">
      <c r="A26" s="142" t="s">
        <v>377</v>
      </c>
    </row>
    <row r="27" spans="1:1" x14ac:dyDescent="0.25">
      <c r="A27" s="142"/>
    </row>
    <row r="28" spans="1:1" x14ac:dyDescent="0.25">
      <c r="A28" s="143" t="s">
        <v>379</v>
      </c>
    </row>
    <row r="29" spans="1:1" x14ac:dyDescent="0.25">
      <c r="A29" s="138" t="s">
        <v>380</v>
      </c>
    </row>
    <row r="30" spans="1:1" x14ac:dyDescent="0.25">
      <c r="A30" s="138" t="s">
        <v>381</v>
      </c>
    </row>
    <row r="31" spans="1:1" x14ac:dyDescent="0.25">
      <c r="A31" s="142"/>
    </row>
    <row r="32" spans="1:1" x14ac:dyDescent="0.25">
      <c r="A32" s="142" t="s">
        <v>377</v>
      </c>
    </row>
    <row r="33" spans="1:1" x14ac:dyDescent="0.25">
      <c r="A33" s="142"/>
    </row>
    <row r="34" spans="1:1" x14ac:dyDescent="0.25">
      <c r="A34" s="182" t="s">
        <v>310</v>
      </c>
    </row>
    <row r="35" spans="1:1" ht="75" x14ac:dyDescent="0.25">
      <c r="A35" s="139" t="s">
        <v>479</v>
      </c>
    </row>
    <row r="36" spans="1:1" ht="52.5" customHeight="1" x14ac:dyDescent="0.25">
      <c r="A36" s="139" t="s">
        <v>462</v>
      </c>
    </row>
    <row r="37" spans="1:1" ht="84" customHeight="1" x14ac:dyDescent="0.25">
      <c r="A37" s="139" t="s">
        <v>464</v>
      </c>
    </row>
    <row r="38" spans="1:1" ht="90" x14ac:dyDescent="0.25">
      <c r="A38" s="139" t="s">
        <v>463</v>
      </c>
    </row>
    <row r="39" spans="1:1" ht="75" x14ac:dyDescent="0.25">
      <c r="A39" s="139" t="s">
        <v>465</v>
      </c>
    </row>
    <row r="40" spans="1:1" ht="90" x14ac:dyDescent="0.25">
      <c r="A40" s="139" t="s">
        <v>466</v>
      </c>
    </row>
    <row r="41" spans="1:1" ht="54" customHeight="1" x14ac:dyDescent="0.25">
      <c r="A41" s="139" t="s">
        <v>467</v>
      </c>
    </row>
    <row r="42" spans="1:1" ht="90" x14ac:dyDescent="0.25">
      <c r="A42" s="139" t="s">
        <v>471</v>
      </c>
    </row>
    <row r="43" spans="1:1" ht="38.25" customHeight="1" x14ac:dyDescent="0.25">
      <c r="A43" s="139" t="s">
        <v>468</v>
      </c>
    </row>
    <row r="44" spans="1:1" ht="85.5" customHeight="1" x14ac:dyDescent="0.25">
      <c r="A44" s="139" t="s">
        <v>469</v>
      </c>
    </row>
    <row r="45" spans="1:1" x14ac:dyDescent="0.25">
      <c r="A45" s="139"/>
    </row>
    <row r="46" spans="1:1" ht="60" x14ac:dyDescent="0.25">
      <c r="A46" s="138" t="s">
        <v>504</v>
      </c>
    </row>
    <row r="47" spans="1:1" ht="30" x14ac:dyDescent="0.25">
      <c r="A47" s="138" t="s">
        <v>311</v>
      </c>
    </row>
    <row r="48" spans="1:1" ht="30" x14ac:dyDescent="0.25">
      <c r="A48" s="138" t="s">
        <v>312</v>
      </c>
    </row>
    <row r="49" spans="1:1" ht="30" x14ac:dyDescent="0.25">
      <c r="A49" s="138" t="s">
        <v>313</v>
      </c>
    </row>
    <row r="51" spans="1:1" x14ac:dyDescent="0.25">
      <c r="A51" s="182" t="s">
        <v>470</v>
      </c>
    </row>
    <row r="52" spans="1:1" ht="45" x14ac:dyDescent="0.25">
      <c r="A52" s="139" t="s">
        <v>480</v>
      </c>
    </row>
    <row r="53" spans="1:1" ht="52.5" customHeight="1" x14ac:dyDescent="0.25">
      <c r="A53" s="138" t="s">
        <v>473</v>
      </c>
    </row>
    <row r="54" spans="1:1" ht="68.25" customHeight="1" x14ac:dyDescent="0.25">
      <c r="A54" s="139" t="s">
        <v>474</v>
      </c>
    </row>
    <row r="55" spans="1:1" ht="54" customHeight="1" x14ac:dyDescent="0.25">
      <c r="A55" s="139" t="s">
        <v>475</v>
      </c>
    </row>
    <row r="57" spans="1:1" x14ac:dyDescent="0.25">
      <c r="A57" s="182" t="s">
        <v>476</v>
      </c>
    </row>
    <row r="58" spans="1:1" ht="90" x14ac:dyDescent="0.25">
      <c r="A58" s="139" t="s">
        <v>477</v>
      </c>
    </row>
    <row r="59" spans="1:1" ht="60" x14ac:dyDescent="0.25">
      <c r="A59" s="138" t="s">
        <v>478</v>
      </c>
    </row>
    <row r="61" spans="1:1" x14ac:dyDescent="0.25">
      <c r="A61" s="182" t="s">
        <v>510</v>
      </c>
    </row>
    <row r="62" spans="1:1" ht="45" x14ac:dyDescent="0.25">
      <c r="A62" s="138" t="s">
        <v>511</v>
      </c>
    </row>
    <row r="63" spans="1:1" ht="30" x14ac:dyDescent="0.25">
      <c r="A63" s="215" t="s">
        <v>512</v>
      </c>
    </row>
    <row r="65" spans="1:1" x14ac:dyDescent="0.25">
      <c r="A65" s="182" t="s">
        <v>481</v>
      </c>
    </row>
    <row r="66" spans="1:1" ht="30" x14ac:dyDescent="0.25">
      <c r="A66" s="215" t="s">
        <v>482</v>
      </c>
    </row>
    <row r="67" spans="1:1" ht="60" customHeight="1" x14ac:dyDescent="0.25">
      <c r="A67" s="138" t="s">
        <v>484</v>
      </c>
    </row>
    <row r="68" spans="1:1" ht="53.25" customHeight="1" x14ac:dyDescent="0.25">
      <c r="A68" s="138" t="s">
        <v>485</v>
      </c>
    </row>
    <row r="69" spans="1:1" ht="69" customHeight="1" x14ac:dyDescent="0.25">
      <c r="A69" s="138" t="s">
        <v>486</v>
      </c>
    </row>
    <row r="70" spans="1:1" ht="83.25" customHeight="1" x14ac:dyDescent="0.25">
      <c r="A70" s="138" t="s">
        <v>493</v>
      </c>
    </row>
    <row r="71" spans="1:1" ht="45" x14ac:dyDescent="0.25">
      <c r="A71" s="138" t="s">
        <v>494</v>
      </c>
    </row>
    <row r="72" spans="1:1" x14ac:dyDescent="0.25">
      <c r="A72" s="138" t="s">
        <v>495</v>
      </c>
    </row>
    <row r="74" spans="1:1" x14ac:dyDescent="0.25">
      <c r="A74" s="182" t="s">
        <v>496</v>
      </c>
    </row>
    <row r="75" spans="1:1" ht="60" x14ac:dyDescent="0.25">
      <c r="A75" s="139" t="s">
        <v>497</v>
      </c>
    </row>
    <row r="76" spans="1:1" ht="39.75" customHeight="1" x14ac:dyDescent="0.25">
      <c r="A76" s="139" t="s">
        <v>498</v>
      </c>
    </row>
    <row r="77" spans="1:1" ht="57.75" customHeight="1" x14ac:dyDescent="0.25">
      <c r="A77" s="139" t="s">
        <v>506</v>
      </c>
    </row>
    <row r="78" spans="1:1" ht="70.5" customHeight="1" x14ac:dyDescent="0.25">
      <c r="A78" s="139" t="s">
        <v>507</v>
      </c>
    </row>
    <row r="79" spans="1:1" ht="70.5" customHeight="1" x14ac:dyDescent="0.25">
      <c r="A79" s="139" t="s">
        <v>499</v>
      </c>
    </row>
    <row r="80" spans="1:1" ht="50.25" customHeight="1" x14ac:dyDescent="0.25">
      <c r="A80" s="138" t="s">
        <v>500</v>
      </c>
    </row>
    <row r="81" spans="1:1" ht="66" customHeight="1" x14ac:dyDescent="0.25">
      <c r="A81" s="138" t="s">
        <v>508</v>
      </c>
    </row>
    <row r="82" spans="1:1" ht="65.25" customHeight="1" x14ac:dyDescent="0.25">
      <c r="A82" s="138" t="s">
        <v>509</v>
      </c>
    </row>
  </sheetData>
  <printOptions gridLine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C2996-30A8-4B8B-9A86-753E95DD969E}">
  <dimension ref="A1:AA57"/>
  <sheetViews>
    <sheetView topLeftCell="A19" zoomScale="85" zoomScaleNormal="85" workbookViewId="0">
      <selection activeCell="G29" sqref="G29"/>
    </sheetView>
  </sheetViews>
  <sheetFormatPr defaultRowHeight="14.25" x14ac:dyDescent="0.2"/>
  <cols>
    <col min="1" max="1" width="48.140625" style="207" bestFit="1" customWidth="1"/>
    <col min="2" max="2" width="9.140625" style="208"/>
    <col min="3" max="3" width="9.140625" style="207"/>
    <col min="4" max="27" width="18.7109375" style="207" customWidth="1"/>
    <col min="28" max="16384" width="9.140625" style="188"/>
  </cols>
  <sheetData>
    <row r="1" spans="1:27" x14ac:dyDescent="0.2">
      <c r="A1" s="184"/>
      <c r="B1" s="185"/>
      <c r="C1" s="186" t="s">
        <v>3</v>
      </c>
      <c r="D1" s="185" t="s">
        <v>11</v>
      </c>
      <c r="E1" s="185" t="s">
        <v>396</v>
      </c>
      <c r="F1" s="186"/>
      <c r="G1" s="186"/>
      <c r="H1" s="186"/>
      <c r="I1" s="186"/>
      <c r="J1" s="186"/>
      <c r="K1" s="186"/>
      <c r="L1" s="186"/>
      <c r="M1" s="186"/>
      <c r="N1" s="186"/>
      <c r="O1" s="186"/>
      <c r="P1" s="186"/>
      <c r="Q1" s="186"/>
      <c r="R1" s="186"/>
      <c r="S1" s="186"/>
      <c r="T1" s="186"/>
      <c r="U1" s="186"/>
      <c r="V1" s="186"/>
      <c r="W1" s="186"/>
      <c r="X1" s="186"/>
      <c r="Y1" s="186"/>
      <c r="Z1" s="186"/>
      <c r="AA1" s="187"/>
    </row>
    <row r="2" spans="1:27" s="194" customFormat="1" ht="15" x14ac:dyDescent="0.25">
      <c r="A2" s="189" t="s">
        <v>359</v>
      </c>
      <c r="B2" s="190" t="s">
        <v>358</v>
      </c>
      <c r="C2" s="191"/>
      <c r="D2" s="190"/>
      <c r="E2" s="190"/>
      <c r="F2" s="191"/>
      <c r="G2" s="191"/>
      <c r="H2" s="191"/>
      <c r="I2" s="191"/>
      <c r="J2" s="191"/>
      <c r="K2" s="192"/>
      <c r="L2" s="191"/>
      <c r="M2" s="191"/>
      <c r="N2" s="191"/>
      <c r="O2" s="191"/>
      <c r="P2" s="191"/>
      <c r="Q2" s="191"/>
      <c r="R2" s="191"/>
      <c r="S2" s="191"/>
      <c r="T2" s="191"/>
      <c r="U2" s="191"/>
      <c r="V2" s="191"/>
      <c r="W2" s="191"/>
      <c r="X2" s="191"/>
      <c r="Y2" s="191"/>
      <c r="Z2" s="191"/>
      <c r="AA2" s="193"/>
    </row>
    <row r="3" spans="1:27" x14ac:dyDescent="0.2">
      <c r="A3" s="195" t="s">
        <v>7</v>
      </c>
      <c r="B3" s="196" t="s">
        <v>10</v>
      </c>
      <c r="C3" s="197"/>
      <c r="D3" s="196">
        <v>4.79</v>
      </c>
      <c r="E3" s="200">
        <v>4.8</v>
      </c>
      <c r="F3" s="197"/>
      <c r="G3" s="197"/>
      <c r="H3" s="197"/>
      <c r="I3" s="197"/>
      <c r="J3" s="197"/>
      <c r="K3" s="197"/>
      <c r="L3" s="197"/>
      <c r="M3" s="197"/>
      <c r="N3" s="197"/>
      <c r="O3" s="197"/>
      <c r="P3" s="197"/>
      <c r="Q3" s="197"/>
      <c r="R3" s="197"/>
      <c r="S3" s="197"/>
      <c r="T3" s="197"/>
      <c r="U3" s="197"/>
      <c r="V3" s="197"/>
      <c r="W3" s="197"/>
      <c r="X3" s="197"/>
      <c r="Y3" s="197"/>
      <c r="Z3" s="197"/>
      <c r="AA3" s="198"/>
    </row>
    <row r="4" spans="1:27" x14ac:dyDescent="0.2">
      <c r="A4" s="195" t="s">
        <v>8</v>
      </c>
      <c r="B4" s="196" t="s">
        <v>10</v>
      </c>
      <c r="C4" s="197"/>
      <c r="D4" s="196">
        <v>6.17</v>
      </c>
      <c r="E4" s="200">
        <v>6.05</v>
      </c>
      <c r="F4" s="197"/>
      <c r="G4" s="197"/>
      <c r="H4" s="197"/>
      <c r="I4" s="197"/>
      <c r="J4" s="197"/>
      <c r="K4" s="197"/>
      <c r="L4" s="197"/>
      <c r="M4" s="197"/>
      <c r="N4" s="197"/>
      <c r="O4" s="197"/>
      <c r="P4" s="197"/>
      <c r="Q4" s="197"/>
      <c r="R4" s="197"/>
      <c r="S4" s="197"/>
      <c r="T4" s="197"/>
      <c r="U4" s="197"/>
      <c r="V4" s="197"/>
      <c r="W4" s="197"/>
      <c r="X4" s="197"/>
      <c r="Y4" s="197"/>
      <c r="Z4" s="197"/>
      <c r="AA4" s="198"/>
    </row>
    <row r="5" spans="1:27" x14ac:dyDescent="0.2">
      <c r="A5" s="195" t="s">
        <v>9</v>
      </c>
      <c r="B5" s="196" t="s">
        <v>10</v>
      </c>
      <c r="C5" s="197"/>
      <c r="D5" s="196">
        <v>0.81</v>
      </c>
      <c r="E5" s="200">
        <v>0.9</v>
      </c>
      <c r="F5" s="197"/>
      <c r="G5" s="197"/>
      <c r="H5" s="197"/>
      <c r="I5" s="197"/>
      <c r="J5" s="197"/>
      <c r="K5" s="197"/>
      <c r="L5" s="197"/>
      <c r="M5" s="197"/>
      <c r="N5" s="197"/>
      <c r="O5" s="197"/>
      <c r="P5" s="197"/>
      <c r="Q5" s="197"/>
      <c r="R5" s="197"/>
      <c r="S5" s="197"/>
      <c r="T5" s="197"/>
      <c r="U5" s="197"/>
      <c r="V5" s="197"/>
      <c r="W5" s="197"/>
      <c r="X5" s="197"/>
      <c r="Y5" s="197"/>
      <c r="Z5" s="197"/>
      <c r="AA5" s="198"/>
    </row>
    <row r="6" spans="1:27" x14ac:dyDescent="0.2">
      <c r="A6" s="195"/>
      <c r="B6" s="196"/>
      <c r="C6" s="197"/>
      <c r="D6" s="196"/>
      <c r="E6" s="196"/>
      <c r="F6" s="197"/>
      <c r="G6" s="197"/>
      <c r="H6" s="197"/>
      <c r="I6" s="197"/>
      <c r="J6" s="197"/>
      <c r="K6" s="197"/>
      <c r="L6" s="197"/>
      <c r="M6" s="197"/>
      <c r="N6" s="197"/>
      <c r="O6" s="197"/>
      <c r="P6" s="197"/>
      <c r="Q6" s="197"/>
      <c r="R6" s="197"/>
      <c r="S6" s="197"/>
      <c r="T6" s="197"/>
      <c r="U6" s="197"/>
      <c r="V6" s="197"/>
      <c r="W6" s="197"/>
      <c r="X6" s="197"/>
      <c r="Y6" s="197"/>
      <c r="Z6" s="197"/>
      <c r="AA6" s="198"/>
    </row>
    <row r="7" spans="1:27" s="194" customFormat="1" ht="15" x14ac:dyDescent="0.25">
      <c r="A7" s="189" t="s">
        <v>13</v>
      </c>
      <c r="B7" s="190"/>
      <c r="C7" s="191"/>
      <c r="D7" s="190"/>
      <c r="E7" s="190"/>
      <c r="F7" s="191"/>
      <c r="G7" s="191"/>
      <c r="H7" s="191"/>
      <c r="I7" s="191"/>
      <c r="J7" s="191"/>
      <c r="K7" s="191"/>
      <c r="L7" s="191"/>
      <c r="M7" s="191"/>
      <c r="N7" s="191"/>
      <c r="O7" s="191"/>
      <c r="P7" s="191"/>
      <c r="Q7" s="191"/>
      <c r="R7" s="191"/>
      <c r="S7" s="191"/>
      <c r="T7" s="191"/>
      <c r="U7" s="191"/>
      <c r="V7" s="191"/>
      <c r="W7" s="191"/>
      <c r="X7" s="191"/>
      <c r="Y7" s="191"/>
      <c r="Z7" s="191"/>
      <c r="AA7" s="193"/>
    </row>
    <row r="8" spans="1:27" x14ac:dyDescent="0.2">
      <c r="A8" s="195" t="s">
        <v>2</v>
      </c>
      <c r="B8" s="196" t="s">
        <v>12</v>
      </c>
      <c r="C8" s="197"/>
      <c r="D8" s="200">
        <v>233</v>
      </c>
      <c r="E8" s="200">
        <v>178</v>
      </c>
      <c r="F8" s="199"/>
      <c r="G8" s="199"/>
      <c r="H8" s="199"/>
      <c r="I8" s="199"/>
      <c r="J8" s="199"/>
      <c r="K8" s="199"/>
      <c r="L8" s="197"/>
      <c r="M8" s="197"/>
      <c r="N8" s="197"/>
      <c r="O8" s="197"/>
      <c r="P8" s="197"/>
      <c r="Q8" s="197"/>
      <c r="R8" s="197"/>
      <c r="S8" s="197"/>
      <c r="T8" s="197"/>
      <c r="U8" s="197"/>
      <c r="V8" s="197"/>
      <c r="W8" s="197"/>
      <c r="X8" s="197"/>
      <c r="Y8" s="197"/>
      <c r="Z8" s="197"/>
      <c r="AA8" s="198"/>
    </row>
    <row r="9" spans="1:27" x14ac:dyDescent="0.2">
      <c r="A9" s="195" t="s">
        <v>397</v>
      </c>
      <c r="B9" s="196" t="s">
        <v>15</v>
      </c>
      <c r="C9" s="197"/>
      <c r="D9" s="200">
        <v>0</v>
      </c>
      <c r="E9" s="200">
        <v>0</v>
      </c>
      <c r="F9" s="200"/>
      <c r="G9" s="200"/>
      <c r="H9" s="200"/>
      <c r="I9" s="200"/>
      <c r="J9" s="200"/>
      <c r="K9" s="200"/>
      <c r="L9" s="197"/>
      <c r="M9" s="197"/>
      <c r="N9" s="197"/>
      <c r="O9" s="197"/>
      <c r="P9" s="197"/>
      <c r="Q9" s="197"/>
      <c r="R9" s="197"/>
      <c r="S9" s="197"/>
      <c r="T9" s="197"/>
      <c r="U9" s="197"/>
      <c r="V9" s="197"/>
      <c r="W9" s="197"/>
      <c r="X9" s="197"/>
      <c r="Y9" s="197"/>
      <c r="Z9" s="197"/>
      <c r="AA9" s="198"/>
    </row>
    <row r="10" spans="1:27" x14ac:dyDescent="0.2">
      <c r="A10" s="195" t="s">
        <v>398</v>
      </c>
      <c r="B10" s="196" t="s">
        <v>15</v>
      </c>
      <c r="C10" s="197"/>
      <c r="D10" s="200">
        <v>0.54800000000000004</v>
      </c>
      <c r="E10" s="200">
        <v>0.88</v>
      </c>
      <c r="F10" s="200"/>
      <c r="G10" s="200"/>
      <c r="H10" s="200"/>
      <c r="I10" s="200"/>
      <c r="J10" s="200"/>
      <c r="K10" s="200"/>
      <c r="L10" s="197"/>
      <c r="M10" s="197"/>
      <c r="N10" s="197"/>
      <c r="O10" s="197"/>
      <c r="P10" s="197"/>
      <c r="Q10" s="197"/>
      <c r="R10" s="197"/>
      <c r="S10" s="197"/>
      <c r="T10" s="197"/>
      <c r="U10" s="197"/>
      <c r="V10" s="197"/>
      <c r="W10" s="197"/>
      <c r="X10" s="197"/>
      <c r="Y10" s="197"/>
      <c r="Z10" s="197"/>
      <c r="AA10" s="198"/>
    </row>
    <row r="11" spans="1:27" ht="16.5" x14ac:dyDescent="0.2">
      <c r="A11" s="195" t="s">
        <v>404</v>
      </c>
      <c r="B11" s="196" t="s">
        <v>472</v>
      </c>
      <c r="C11" s="197"/>
      <c r="D11" s="200">
        <v>4.75</v>
      </c>
      <c r="E11" s="200">
        <v>5.56</v>
      </c>
      <c r="F11" s="200"/>
      <c r="G11" s="200"/>
      <c r="H11" s="200"/>
      <c r="I11" s="200"/>
      <c r="J11" s="200"/>
      <c r="K11" s="200"/>
      <c r="L11" s="197"/>
      <c r="M11" s="197"/>
      <c r="N11" s="197"/>
      <c r="O11" s="197"/>
      <c r="P11" s="197"/>
      <c r="Q11" s="197"/>
      <c r="R11" s="197"/>
      <c r="S11" s="197"/>
      <c r="T11" s="197"/>
      <c r="U11" s="197"/>
      <c r="V11" s="197"/>
      <c r="W11" s="197"/>
      <c r="X11" s="197"/>
      <c r="Y11" s="197"/>
      <c r="Z11" s="197"/>
      <c r="AA11" s="198"/>
    </row>
    <row r="12" spans="1:27" ht="16.5" x14ac:dyDescent="0.2">
      <c r="A12" s="195" t="s">
        <v>405</v>
      </c>
      <c r="B12" s="196" t="s">
        <v>472</v>
      </c>
      <c r="C12" s="197"/>
      <c r="D12" s="200">
        <v>5.72</v>
      </c>
      <c r="E12" s="200">
        <v>5.7</v>
      </c>
      <c r="F12" s="200"/>
      <c r="G12" s="200"/>
      <c r="H12" s="200"/>
      <c r="I12" s="200"/>
      <c r="J12" s="200"/>
      <c r="K12" s="200"/>
      <c r="L12" s="197"/>
      <c r="M12" s="197"/>
      <c r="N12" s="197"/>
      <c r="O12" s="197"/>
      <c r="P12" s="197"/>
      <c r="Q12" s="197"/>
      <c r="R12" s="197"/>
      <c r="S12" s="197"/>
      <c r="T12" s="197"/>
      <c r="U12" s="197"/>
      <c r="V12" s="197"/>
      <c r="W12" s="197"/>
      <c r="X12" s="197"/>
      <c r="Y12" s="197"/>
      <c r="Z12" s="197"/>
      <c r="AA12" s="198"/>
    </row>
    <row r="13" spans="1:27" x14ac:dyDescent="0.2">
      <c r="A13" s="195"/>
      <c r="B13" s="196"/>
      <c r="C13" s="197"/>
      <c r="D13" s="200"/>
      <c r="E13" s="200"/>
      <c r="F13" s="200"/>
      <c r="G13" s="200"/>
      <c r="H13" s="200"/>
      <c r="I13" s="200"/>
      <c r="J13" s="200"/>
      <c r="K13" s="200"/>
      <c r="L13" s="197"/>
      <c r="M13" s="197"/>
      <c r="N13" s="197"/>
      <c r="O13" s="197"/>
      <c r="P13" s="197"/>
      <c r="Q13" s="197"/>
      <c r="R13" s="197"/>
      <c r="S13" s="197"/>
      <c r="T13" s="197"/>
      <c r="U13" s="197"/>
      <c r="V13" s="197"/>
      <c r="W13" s="197"/>
      <c r="X13" s="197"/>
      <c r="Y13" s="197"/>
      <c r="Z13" s="197"/>
      <c r="AA13" s="198"/>
    </row>
    <row r="14" spans="1:27" s="194" customFormat="1" ht="15" x14ac:dyDescent="0.25">
      <c r="A14" s="189" t="s">
        <v>18</v>
      </c>
      <c r="B14" s="190"/>
      <c r="C14" s="191"/>
      <c r="D14" s="190"/>
      <c r="E14" s="190"/>
      <c r="F14" s="191"/>
      <c r="G14" s="191"/>
      <c r="H14" s="191"/>
      <c r="I14" s="191"/>
      <c r="J14" s="191"/>
      <c r="K14" s="191"/>
      <c r="L14" s="191"/>
      <c r="M14" s="191"/>
      <c r="N14" s="191"/>
      <c r="O14" s="191"/>
      <c r="P14" s="191"/>
      <c r="Q14" s="191"/>
      <c r="R14" s="191"/>
      <c r="S14" s="191"/>
      <c r="T14" s="191"/>
      <c r="U14" s="191"/>
      <c r="V14" s="191"/>
      <c r="W14" s="191"/>
      <c r="X14" s="191"/>
      <c r="Y14" s="191"/>
      <c r="Z14" s="191"/>
      <c r="AA14" s="193"/>
    </row>
    <row r="15" spans="1:27" x14ac:dyDescent="0.2">
      <c r="A15" s="195" t="s">
        <v>2</v>
      </c>
      <c r="B15" s="196" t="s">
        <v>12</v>
      </c>
      <c r="C15" s="197"/>
      <c r="D15" s="200">
        <v>467</v>
      </c>
      <c r="E15" s="200">
        <v>357</v>
      </c>
      <c r="F15" s="199"/>
      <c r="G15" s="199"/>
      <c r="H15" s="199"/>
      <c r="I15" s="199"/>
      <c r="J15" s="199"/>
      <c r="K15" s="199"/>
      <c r="L15" s="197"/>
      <c r="M15" s="197"/>
      <c r="N15" s="197"/>
      <c r="O15" s="197"/>
      <c r="P15" s="197"/>
      <c r="Q15" s="197"/>
      <c r="R15" s="197"/>
      <c r="S15" s="197"/>
      <c r="T15" s="197"/>
      <c r="U15" s="197"/>
      <c r="V15" s="197"/>
      <c r="W15" s="197"/>
      <c r="X15" s="197"/>
      <c r="Y15" s="197"/>
      <c r="Z15" s="197"/>
      <c r="AA15" s="198"/>
    </row>
    <row r="16" spans="1:27" x14ac:dyDescent="0.2">
      <c r="A16" s="195" t="s">
        <v>397</v>
      </c>
      <c r="B16" s="196" t="s">
        <v>15</v>
      </c>
      <c r="C16" s="197"/>
      <c r="D16" s="200">
        <v>-1.35</v>
      </c>
      <c r="E16" s="200">
        <v>-1.56</v>
      </c>
      <c r="F16" s="200"/>
      <c r="G16" s="200"/>
      <c r="H16" s="200"/>
      <c r="I16" s="200"/>
      <c r="J16" s="200"/>
      <c r="K16" s="200"/>
      <c r="L16" s="197"/>
      <c r="M16" s="197"/>
      <c r="N16" s="197"/>
      <c r="O16" s="197"/>
      <c r="P16" s="197"/>
      <c r="Q16" s="197"/>
      <c r="R16" s="197"/>
      <c r="S16" s="197"/>
      <c r="T16" s="197"/>
      <c r="U16" s="197"/>
      <c r="V16" s="197"/>
      <c r="W16" s="197"/>
      <c r="X16" s="197"/>
      <c r="Y16" s="197"/>
      <c r="Z16" s="197"/>
      <c r="AA16" s="198"/>
    </row>
    <row r="17" spans="1:27" x14ac:dyDescent="0.2">
      <c r="A17" s="195" t="s">
        <v>398</v>
      </c>
      <c r="B17" s="196" t="s">
        <v>15</v>
      </c>
      <c r="C17" s="197"/>
      <c r="D17" s="200">
        <v>1.9</v>
      </c>
      <c r="E17" s="200">
        <v>1.7</v>
      </c>
      <c r="F17" s="200"/>
      <c r="G17" s="200"/>
      <c r="H17" s="196"/>
      <c r="I17" s="196"/>
      <c r="J17" s="196"/>
      <c r="K17" s="196"/>
      <c r="L17" s="197"/>
      <c r="M17" s="197"/>
      <c r="N17" s="197"/>
      <c r="O17" s="197"/>
      <c r="P17" s="197"/>
      <c r="Q17" s="197"/>
      <c r="R17" s="197"/>
      <c r="S17" s="197"/>
      <c r="T17" s="197"/>
      <c r="U17" s="197"/>
      <c r="V17" s="197"/>
      <c r="W17" s="197"/>
      <c r="X17" s="197"/>
      <c r="Y17" s="197"/>
      <c r="Z17" s="197"/>
      <c r="AA17" s="198"/>
    </row>
    <row r="18" spans="1:27" ht="16.5" x14ac:dyDescent="0.2">
      <c r="A18" s="195" t="s">
        <v>404</v>
      </c>
      <c r="B18" s="196" t="s">
        <v>472</v>
      </c>
      <c r="C18" s="197"/>
      <c r="D18" s="200">
        <v>6.4</v>
      </c>
      <c r="E18" s="200">
        <v>4.66</v>
      </c>
      <c r="F18" s="200"/>
      <c r="G18" s="200"/>
      <c r="H18" s="196"/>
      <c r="I18" s="200"/>
      <c r="J18" s="196"/>
      <c r="K18" s="197"/>
      <c r="L18" s="197"/>
      <c r="M18" s="197"/>
      <c r="N18" s="197"/>
      <c r="O18" s="197"/>
      <c r="P18" s="197"/>
      <c r="Q18" s="197"/>
      <c r="R18" s="197"/>
      <c r="S18" s="197"/>
      <c r="T18" s="197"/>
      <c r="U18" s="197"/>
      <c r="V18" s="197"/>
      <c r="W18" s="197"/>
      <c r="X18" s="197"/>
      <c r="Y18" s="197"/>
      <c r="Z18" s="197"/>
      <c r="AA18" s="198"/>
    </row>
    <row r="19" spans="1:27" ht="16.5" x14ac:dyDescent="0.2">
      <c r="A19" s="195" t="s">
        <v>405</v>
      </c>
      <c r="B19" s="196" t="s">
        <v>472</v>
      </c>
      <c r="C19" s="197"/>
      <c r="D19" s="200">
        <v>7.5</v>
      </c>
      <c r="E19" s="200">
        <v>10</v>
      </c>
      <c r="F19" s="200"/>
      <c r="G19" s="200"/>
      <c r="H19" s="196"/>
      <c r="I19" s="196"/>
      <c r="J19" s="196"/>
      <c r="K19" s="200"/>
      <c r="L19" s="197"/>
      <c r="M19" s="197"/>
      <c r="N19" s="197"/>
      <c r="O19" s="197"/>
      <c r="P19" s="197"/>
      <c r="Q19" s="197"/>
      <c r="R19" s="197"/>
      <c r="S19" s="197"/>
      <c r="T19" s="197"/>
      <c r="U19" s="197"/>
      <c r="V19" s="197"/>
      <c r="W19" s="197"/>
      <c r="X19" s="197"/>
      <c r="Y19" s="197"/>
      <c r="Z19" s="197"/>
      <c r="AA19" s="198"/>
    </row>
    <row r="20" spans="1:27" x14ac:dyDescent="0.2">
      <c r="A20" s="195"/>
      <c r="B20" s="196"/>
      <c r="C20" s="197"/>
      <c r="D20" s="196"/>
      <c r="E20" s="196"/>
      <c r="F20" s="197"/>
      <c r="G20" s="197"/>
      <c r="H20" s="197"/>
      <c r="I20" s="197"/>
      <c r="J20" s="197"/>
      <c r="K20" s="197"/>
      <c r="L20" s="197"/>
      <c r="M20" s="197"/>
      <c r="N20" s="197"/>
      <c r="O20" s="197"/>
      <c r="P20" s="197"/>
      <c r="Q20" s="197"/>
      <c r="R20" s="197"/>
      <c r="S20" s="197"/>
      <c r="T20" s="197"/>
      <c r="U20" s="197"/>
      <c r="V20" s="197"/>
      <c r="W20" s="197"/>
      <c r="X20" s="197"/>
      <c r="Y20" s="197"/>
      <c r="Z20" s="197"/>
      <c r="AA20" s="198"/>
    </row>
    <row r="21" spans="1:27" s="194" customFormat="1" ht="15" x14ac:dyDescent="0.25">
      <c r="A21" s="189" t="s">
        <v>4</v>
      </c>
      <c r="B21" s="190"/>
      <c r="C21" s="191"/>
      <c r="D21" s="190"/>
      <c r="E21" s="190"/>
      <c r="F21" s="191"/>
      <c r="G21" s="191"/>
      <c r="H21" s="191"/>
      <c r="I21" s="191"/>
      <c r="J21" s="191"/>
      <c r="K21" s="191"/>
      <c r="L21" s="191"/>
      <c r="M21" s="191"/>
      <c r="N21" s="191"/>
      <c r="O21" s="191"/>
      <c r="P21" s="191"/>
      <c r="Q21" s="191"/>
      <c r="R21" s="191"/>
      <c r="S21" s="191"/>
      <c r="T21" s="191"/>
      <c r="U21" s="191"/>
      <c r="V21" s="191"/>
      <c r="W21" s="191"/>
      <c r="X21" s="191"/>
      <c r="Y21" s="191"/>
      <c r="Z21" s="191"/>
      <c r="AA21" s="193"/>
    </row>
    <row r="22" spans="1:27" x14ac:dyDescent="0.2">
      <c r="A22" s="195" t="s">
        <v>2</v>
      </c>
      <c r="B22" s="196" t="s">
        <v>12</v>
      </c>
      <c r="C22" s="197"/>
      <c r="D22" s="200">
        <v>43.2</v>
      </c>
      <c r="E22" s="200">
        <v>0</v>
      </c>
      <c r="F22" s="200"/>
      <c r="G22" s="200"/>
      <c r="H22" s="197"/>
      <c r="I22" s="197"/>
      <c r="J22" s="197"/>
      <c r="K22" s="197"/>
      <c r="L22" s="197"/>
      <c r="M22" s="197"/>
      <c r="N22" s="197"/>
      <c r="O22" s="197"/>
      <c r="P22" s="197"/>
      <c r="Q22" s="197"/>
      <c r="R22" s="197"/>
      <c r="S22" s="197"/>
      <c r="T22" s="197"/>
      <c r="U22" s="197"/>
      <c r="V22" s="197"/>
      <c r="W22" s="197"/>
      <c r="X22" s="197"/>
      <c r="Y22" s="197"/>
      <c r="Z22" s="197"/>
      <c r="AA22" s="198"/>
    </row>
    <row r="23" spans="1:27" x14ac:dyDescent="0.2">
      <c r="A23" s="195" t="s">
        <v>1</v>
      </c>
      <c r="B23" s="196" t="s">
        <v>15</v>
      </c>
      <c r="C23" s="197"/>
      <c r="D23" s="200">
        <v>32</v>
      </c>
      <c r="E23" s="200">
        <v>0</v>
      </c>
      <c r="F23" s="200"/>
      <c r="G23" s="200"/>
      <c r="H23" s="197"/>
      <c r="I23" s="197"/>
      <c r="J23" s="197"/>
      <c r="K23" s="197"/>
      <c r="L23" s="197"/>
      <c r="M23" s="197"/>
      <c r="N23" s="197"/>
      <c r="O23" s="197"/>
      <c r="P23" s="197"/>
      <c r="Q23" s="197"/>
      <c r="R23" s="197"/>
      <c r="S23" s="197"/>
      <c r="T23" s="197"/>
      <c r="U23" s="197"/>
      <c r="V23" s="197"/>
      <c r="W23" s="197"/>
      <c r="X23" s="197"/>
      <c r="Y23" s="197"/>
      <c r="Z23" s="197"/>
      <c r="AA23" s="198"/>
    </row>
    <row r="24" spans="1:27" x14ac:dyDescent="0.2">
      <c r="A24" s="195" t="s">
        <v>441</v>
      </c>
      <c r="B24" s="196" t="s">
        <v>15</v>
      </c>
      <c r="C24" s="197"/>
      <c r="D24" s="200">
        <v>1</v>
      </c>
      <c r="E24" s="200">
        <v>0</v>
      </c>
      <c r="F24" s="200"/>
      <c r="G24" s="200"/>
      <c r="H24" s="200"/>
      <c r="I24" s="200"/>
      <c r="J24" s="200"/>
      <c r="K24" s="197"/>
      <c r="L24" s="197"/>
      <c r="M24" s="197"/>
      <c r="N24" s="197"/>
      <c r="O24" s="197"/>
      <c r="P24" s="197"/>
      <c r="Q24" s="197"/>
      <c r="R24" s="197"/>
      <c r="S24" s="197"/>
      <c r="T24" s="197"/>
      <c r="U24" s="197"/>
      <c r="V24" s="197"/>
      <c r="W24" s="197"/>
      <c r="X24" s="197"/>
      <c r="Y24" s="197"/>
      <c r="Z24" s="197"/>
      <c r="AA24" s="198"/>
    </row>
    <row r="25" spans="1:27" x14ac:dyDescent="0.2">
      <c r="A25" s="195" t="s">
        <v>442</v>
      </c>
      <c r="B25" s="196" t="s">
        <v>15</v>
      </c>
      <c r="C25" s="197"/>
      <c r="D25" s="200">
        <v>1.748</v>
      </c>
      <c r="E25" s="200">
        <v>0</v>
      </c>
      <c r="F25" s="200"/>
      <c r="G25" s="200"/>
      <c r="H25" s="200"/>
      <c r="I25" s="200"/>
      <c r="J25" s="200"/>
      <c r="K25" s="197"/>
      <c r="L25" s="197"/>
      <c r="M25" s="197"/>
      <c r="N25" s="197"/>
      <c r="O25" s="197"/>
      <c r="P25" s="197"/>
      <c r="Q25" s="197"/>
      <c r="R25" s="197"/>
      <c r="S25" s="197"/>
      <c r="T25" s="197"/>
      <c r="U25" s="197"/>
      <c r="V25" s="197"/>
      <c r="W25" s="197"/>
      <c r="X25" s="197"/>
      <c r="Y25" s="197"/>
      <c r="Z25" s="197"/>
      <c r="AA25" s="198"/>
    </row>
    <row r="26" spans="1:27" ht="16.5" x14ac:dyDescent="0.2">
      <c r="A26" s="195" t="s">
        <v>16</v>
      </c>
      <c r="B26" s="196" t="s">
        <v>472</v>
      </c>
      <c r="C26" s="197"/>
      <c r="D26" s="200">
        <v>5</v>
      </c>
      <c r="E26" s="200">
        <v>0</v>
      </c>
      <c r="F26" s="200"/>
      <c r="G26" s="200"/>
      <c r="H26" s="200"/>
      <c r="I26" s="200"/>
      <c r="J26" s="200"/>
      <c r="K26" s="197"/>
      <c r="L26" s="197"/>
      <c r="M26" s="197"/>
      <c r="N26" s="197"/>
      <c r="O26" s="197"/>
      <c r="P26" s="197"/>
      <c r="Q26" s="197"/>
      <c r="R26" s="197"/>
      <c r="S26" s="197"/>
      <c r="T26" s="197"/>
      <c r="U26" s="197"/>
      <c r="V26" s="197"/>
      <c r="W26" s="197"/>
      <c r="X26" s="197"/>
      <c r="Y26" s="197"/>
      <c r="Z26" s="197"/>
      <c r="AA26" s="198"/>
    </row>
    <row r="27" spans="1:27" ht="16.5" x14ac:dyDescent="0.2">
      <c r="A27" s="195" t="s">
        <v>17</v>
      </c>
      <c r="B27" s="196" t="s">
        <v>472</v>
      </c>
      <c r="C27" s="197"/>
      <c r="D27" s="200">
        <v>5</v>
      </c>
      <c r="E27" s="200">
        <v>0</v>
      </c>
      <c r="F27" s="200"/>
      <c r="G27" s="200"/>
      <c r="H27" s="200"/>
      <c r="I27" s="200"/>
      <c r="J27" s="200"/>
      <c r="K27" s="197"/>
      <c r="L27" s="197"/>
      <c r="M27" s="197"/>
      <c r="N27" s="197"/>
      <c r="O27" s="197"/>
      <c r="P27" s="197"/>
      <c r="Q27" s="197"/>
      <c r="R27" s="197"/>
      <c r="S27" s="197"/>
      <c r="T27" s="197"/>
      <c r="U27" s="197"/>
      <c r="V27" s="197"/>
      <c r="W27" s="197"/>
      <c r="X27" s="197"/>
      <c r="Y27" s="197"/>
      <c r="Z27" s="197"/>
      <c r="AA27" s="198"/>
    </row>
    <row r="28" spans="1:27" x14ac:dyDescent="0.2">
      <c r="A28" s="195"/>
      <c r="B28" s="196"/>
      <c r="C28" s="197"/>
      <c r="D28" s="196"/>
      <c r="E28" s="196"/>
      <c r="F28" s="197"/>
      <c r="G28" s="197"/>
      <c r="H28" s="197"/>
      <c r="I28" s="197"/>
      <c r="J28" s="197"/>
      <c r="K28" s="197"/>
      <c r="L28" s="197"/>
      <c r="M28" s="197"/>
      <c r="N28" s="197"/>
      <c r="O28" s="197"/>
      <c r="P28" s="197"/>
      <c r="Q28" s="197"/>
      <c r="R28" s="197"/>
      <c r="S28" s="197"/>
      <c r="T28" s="197"/>
      <c r="U28" s="197"/>
      <c r="V28" s="197"/>
      <c r="W28" s="197"/>
      <c r="X28" s="197"/>
      <c r="Y28" s="197"/>
      <c r="Z28" s="197"/>
      <c r="AA28" s="198"/>
    </row>
    <row r="29" spans="1:27" s="194" customFormat="1" ht="15" x14ac:dyDescent="0.25">
      <c r="A29" s="189" t="s">
        <v>25</v>
      </c>
      <c r="B29" s="190"/>
      <c r="C29" s="191"/>
      <c r="D29" s="190"/>
      <c r="E29" s="190"/>
      <c r="F29" s="191"/>
      <c r="G29" s="191"/>
      <c r="H29" s="191"/>
      <c r="I29" s="191"/>
      <c r="J29" s="191"/>
      <c r="K29" s="191"/>
      <c r="L29" s="191"/>
      <c r="M29" s="191"/>
      <c r="N29" s="191"/>
      <c r="O29" s="191"/>
      <c r="P29" s="191"/>
      <c r="Q29" s="191"/>
      <c r="R29" s="191"/>
      <c r="S29" s="191"/>
      <c r="T29" s="191"/>
      <c r="U29" s="191"/>
      <c r="V29" s="191"/>
      <c r="W29" s="191"/>
      <c r="X29" s="191"/>
      <c r="Y29" s="191"/>
      <c r="Z29" s="191"/>
      <c r="AA29" s="193"/>
    </row>
    <row r="30" spans="1:27" x14ac:dyDescent="0.2">
      <c r="A30" s="195" t="s">
        <v>2</v>
      </c>
      <c r="B30" s="196" t="s">
        <v>12</v>
      </c>
      <c r="C30" s="197"/>
      <c r="D30" s="200">
        <v>0</v>
      </c>
      <c r="E30" s="200">
        <v>58</v>
      </c>
      <c r="F30" s="196"/>
      <c r="G30" s="197"/>
      <c r="H30" s="197"/>
      <c r="I30" s="197"/>
      <c r="J30" s="197"/>
      <c r="K30" s="197"/>
      <c r="L30" s="197"/>
      <c r="M30" s="197"/>
      <c r="N30" s="197"/>
      <c r="O30" s="197"/>
      <c r="P30" s="197"/>
      <c r="Q30" s="197"/>
      <c r="R30" s="197"/>
      <c r="S30" s="197"/>
      <c r="T30" s="197"/>
      <c r="U30" s="197"/>
      <c r="V30" s="197"/>
      <c r="W30" s="197"/>
      <c r="X30" s="197"/>
      <c r="Y30" s="197"/>
      <c r="Z30" s="197"/>
      <c r="AA30" s="198"/>
    </row>
    <row r="31" spans="1:27" x14ac:dyDescent="0.2">
      <c r="A31" s="195" t="s">
        <v>1</v>
      </c>
      <c r="B31" s="196" t="s">
        <v>15</v>
      </c>
      <c r="C31" s="197"/>
      <c r="D31" s="200">
        <v>0</v>
      </c>
      <c r="E31" s="200">
        <v>15</v>
      </c>
      <c r="F31" s="196"/>
      <c r="G31" s="200"/>
      <c r="H31" s="196"/>
      <c r="I31" s="197"/>
      <c r="J31" s="200"/>
      <c r="K31" s="197"/>
      <c r="L31" s="197"/>
      <c r="M31" s="197"/>
      <c r="N31" s="197"/>
      <c r="O31" s="197"/>
      <c r="P31" s="197"/>
      <c r="Q31" s="197"/>
      <c r="R31" s="197"/>
      <c r="S31" s="197"/>
      <c r="T31" s="197"/>
      <c r="U31" s="197"/>
      <c r="V31" s="197"/>
      <c r="W31" s="197"/>
      <c r="X31" s="197"/>
      <c r="Y31" s="197"/>
      <c r="Z31" s="197"/>
      <c r="AA31" s="198"/>
    </row>
    <row r="32" spans="1:27" x14ac:dyDescent="0.2">
      <c r="A32" s="195" t="s">
        <v>441</v>
      </c>
      <c r="B32" s="196" t="s">
        <v>15</v>
      </c>
      <c r="C32" s="197"/>
      <c r="D32" s="200">
        <v>0</v>
      </c>
      <c r="E32" s="200">
        <v>-1.3</v>
      </c>
      <c r="F32" s="196"/>
      <c r="G32" s="200"/>
      <c r="H32" s="196"/>
      <c r="I32" s="197"/>
      <c r="J32" s="196"/>
      <c r="K32" s="197"/>
      <c r="L32" s="197"/>
      <c r="M32" s="197"/>
      <c r="N32" s="197"/>
      <c r="O32" s="197"/>
      <c r="P32" s="197"/>
      <c r="Q32" s="197"/>
      <c r="R32" s="197"/>
      <c r="S32" s="197"/>
      <c r="T32" s="197"/>
      <c r="U32" s="197"/>
      <c r="V32" s="197"/>
      <c r="W32" s="197"/>
      <c r="X32" s="197"/>
      <c r="Y32" s="197"/>
      <c r="Z32" s="197"/>
      <c r="AA32" s="198"/>
    </row>
    <row r="33" spans="1:27" x14ac:dyDescent="0.2">
      <c r="A33" s="195" t="s">
        <v>442</v>
      </c>
      <c r="B33" s="196" t="s">
        <v>15</v>
      </c>
      <c r="C33" s="197"/>
      <c r="D33" s="200">
        <v>0</v>
      </c>
      <c r="E33" s="200">
        <v>1.3919999999999999</v>
      </c>
      <c r="F33" s="196"/>
      <c r="G33" s="200"/>
      <c r="H33" s="196"/>
      <c r="I33" s="197"/>
      <c r="J33" s="196"/>
      <c r="K33" s="197"/>
      <c r="L33" s="197"/>
      <c r="M33" s="197"/>
      <c r="N33" s="197"/>
      <c r="O33" s="197"/>
      <c r="P33" s="197"/>
      <c r="Q33" s="197"/>
      <c r="R33" s="197"/>
      <c r="S33" s="197"/>
      <c r="T33" s="197"/>
      <c r="U33" s="197"/>
      <c r="V33" s="197"/>
      <c r="W33" s="197"/>
      <c r="X33" s="197"/>
      <c r="Y33" s="197"/>
      <c r="Z33" s="197"/>
      <c r="AA33" s="198"/>
    </row>
    <row r="34" spans="1:27" ht="16.5" x14ac:dyDescent="0.2">
      <c r="A34" s="195" t="s">
        <v>16</v>
      </c>
      <c r="B34" s="196" t="s">
        <v>472</v>
      </c>
      <c r="C34" s="197"/>
      <c r="D34" s="200">
        <v>0</v>
      </c>
      <c r="E34" s="200">
        <v>3</v>
      </c>
      <c r="F34" s="196"/>
      <c r="G34" s="200"/>
      <c r="H34" s="196"/>
      <c r="I34" s="197"/>
      <c r="J34" s="197"/>
      <c r="K34" s="197"/>
      <c r="L34" s="197"/>
      <c r="M34" s="197"/>
      <c r="N34" s="197"/>
      <c r="O34" s="197"/>
      <c r="P34" s="197"/>
      <c r="Q34" s="197"/>
      <c r="R34" s="197"/>
      <c r="S34" s="197"/>
      <c r="T34" s="197"/>
      <c r="U34" s="197"/>
      <c r="V34" s="197"/>
      <c r="W34" s="197"/>
      <c r="X34" s="197"/>
      <c r="Y34" s="197"/>
      <c r="Z34" s="197"/>
      <c r="AA34" s="198"/>
    </row>
    <row r="35" spans="1:27" ht="16.5" x14ac:dyDescent="0.2">
      <c r="A35" s="195" t="s">
        <v>17</v>
      </c>
      <c r="B35" s="196" t="s">
        <v>472</v>
      </c>
      <c r="C35" s="197"/>
      <c r="D35" s="200">
        <v>0</v>
      </c>
      <c r="E35" s="200">
        <v>3</v>
      </c>
      <c r="F35" s="196"/>
      <c r="G35" s="200"/>
      <c r="H35" s="196"/>
      <c r="I35" s="197"/>
      <c r="J35" s="197"/>
      <c r="K35" s="197"/>
      <c r="L35" s="197"/>
      <c r="M35" s="197"/>
      <c r="N35" s="197"/>
      <c r="O35" s="197"/>
      <c r="P35" s="197"/>
      <c r="Q35" s="197"/>
      <c r="R35" s="197"/>
      <c r="S35" s="197"/>
      <c r="T35" s="197"/>
      <c r="U35" s="197"/>
      <c r="V35" s="197"/>
      <c r="W35" s="197"/>
      <c r="X35" s="197"/>
      <c r="Y35" s="197"/>
      <c r="Z35" s="197"/>
      <c r="AA35" s="198"/>
    </row>
    <row r="36" spans="1:27" x14ac:dyDescent="0.2">
      <c r="A36" s="195"/>
      <c r="B36" s="196"/>
      <c r="C36" s="197"/>
      <c r="D36" s="196"/>
      <c r="E36" s="196"/>
      <c r="F36" s="197"/>
      <c r="G36" s="197"/>
      <c r="H36" s="197"/>
      <c r="I36" s="197"/>
      <c r="J36" s="197"/>
      <c r="K36" s="197"/>
      <c r="L36" s="197"/>
      <c r="M36" s="197"/>
      <c r="N36" s="197"/>
      <c r="O36" s="197"/>
      <c r="P36" s="197"/>
      <c r="Q36" s="197"/>
      <c r="R36" s="197"/>
      <c r="S36" s="197"/>
      <c r="T36" s="197"/>
      <c r="U36" s="197"/>
      <c r="V36" s="197"/>
      <c r="W36" s="197"/>
      <c r="X36" s="197"/>
      <c r="Y36" s="197"/>
      <c r="Z36" s="197"/>
      <c r="AA36" s="198"/>
    </row>
    <row r="37" spans="1:27" s="194" customFormat="1" ht="15" x14ac:dyDescent="0.25">
      <c r="A37" s="189" t="s">
        <v>6</v>
      </c>
      <c r="B37" s="190"/>
      <c r="C37" s="191"/>
      <c r="D37" s="190"/>
      <c r="E37" s="190"/>
      <c r="F37" s="191"/>
      <c r="G37" s="191"/>
      <c r="H37" s="191"/>
      <c r="I37" s="191"/>
      <c r="J37" s="191"/>
      <c r="K37" s="191"/>
      <c r="L37" s="191"/>
      <c r="M37" s="191"/>
      <c r="N37" s="191"/>
      <c r="O37" s="191"/>
      <c r="P37" s="191"/>
      <c r="Q37" s="191"/>
      <c r="R37" s="191"/>
      <c r="S37" s="191"/>
      <c r="T37" s="191"/>
      <c r="U37" s="191"/>
      <c r="V37" s="191"/>
      <c r="W37" s="191"/>
      <c r="X37" s="191"/>
      <c r="Y37" s="191"/>
      <c r="Z37" s="191"/>
      <c r="AA37" s="193"/>
    </row>
    <row r="38" spans="1:27" x14ac:dyDescent="0.2">
      <c r="A38" s="195" t="s">
        <v>2</v>
      </c>
      <c r="B38" s="196" t="s">
        <v>12</v>
      </c>
      <c r="C38" s="197"/>
      <c r="D38" s="200">
        <v>0</v>
      </c>
      <c r="E38" s="200">
        <v>140</v>
      </c>
      <c r="F38" s="196"/>
      <c r="G38" s="196"/>
      <c r="H38" s="197"/>
      <c r="I38" s="197"/>
      <c r="J38" s="197"/>
      <c r="K38" s="201"/>
      <c r="L38" s="197"/>
      <c r="M38" s="197"/>
      <c r="N38" s="197"/>
      <c r="O38" s="197"/>
      <c r="P38" s="197"/>
      <c r="Q38" s="197"/>
      <c r="R38" s="197"/>
      <c r="S38" s="197"/>
      <c r="T38" s="197"/>
      <c r="U38" s="197"/>
      <c r="V38" s="197"/>
      <c r="W38" s="197"/>
      <c r="X38" s="197"/>
      <c r="Y38" s="197"/>
      <c r="Z38" s="197"/>
      <c r="AA38" s="198"/>
    </row>
    <row r="39" spans="1:27" x14ac:dyDescent="0.2">
      <c r="A39" s="195" t="s">
        <v>1</v>
      </c>
      <c r="B39" s="196" t="s">
        <v>15</v>
      </c>
      <c r="C39" s="197"/>
      <c r="D39" s="200">
        <v>0</v>
      </c>
      <c r="E39" s="200">
        <v>30</v>
      </c>
      <c r="F39" s="196"/>
      <c r="G39" s="196"/>
      <c r="H39" s="196"/>
      <c r="I39" s="197"/>
      <c r="J39" s="196"/>
      <c r="K39" s="196"/>
      <c r="L39" s="197"/>
      <c r="M39" s="197"/>
      <c r="N39" s="197"/>
      <c r="O39" s="197"/>
      <c r="P39" s="197"/>
      <c r="Q39" s="197"/>
      <c r="R39" s="197"/>
      <c r="S39" s="197"/>
      <c r="T39" s="197"/>
      <c r="U39" s="197"/>
      <c r="V39" s="197"/>
      <c r="W39" s="197"/>
      <c r="X39" s="197"/>
      <c r="Y39" s="197"/>
      <c r="Z39" s="197"/>
      <c r="AA39" s="198"/>
    </row>
    <row r="40" spans="1:27" x14ac:dyDescent="0.2">
      <c r="A40" s="195" t="s">
        <v>397</v>
      </c>
      <c r="B40" s="196" t="s">
        <v>15</v>
      </c>
      <c r="C40" s="197"/>
      <c r="D40" s="200">
        <v>0</v>
      </c>
      <c r="E40" s="200">
        <v>3.4249999999999998</v>
      </c>
      <c r="F40" s="196"/>
      <c r="G40" s="196"/>
      <c r="H40" s="196"/>
      <c r="I40" s="197"/>
      <c r="J40" s="196"/>
      <c r="K40" s="196"/>
      <c r="L40" s="197"/>
      <c r="M40" s="197"/>
      <c r="N40" s="197"/>
      <c r="O40" s="197"/>
      <c r="P40" s="197"/>
      <c r="Q40" s="197"/>
      <c r="R40" s="197"/>
      <c r="S40" s="197"/>
      <c r="T40" s="197"/>
      <c r="U40" s="197"/>
      <c r="V40" s="197"/>
      <c r="W40" s="197"/>
      <c r="X40" s="197"/>
      <c r="Y40" s="197"/>
      <c r="Z40" s="197"/>
      <c r="AA40" s="198"/>
    </row>
    <row r="41" spans="1:27" x14ac:dyDescent="0.2">
      <c r="A41" s="195" t="s">
        <v>398</v>
      </c>
      <c r="B41" s="196" t="s">
        <v>15</v>
      </c>
      <c r="C41" s="197"/>
      <c r="D41" s="200">
        <v>0</v>
      </c>
      <c r="E41" s="200">
        <v>15</v>
      </c>
      <c r="F41" s="196"/>
      <c r="G41" s="196"/>
      <c r="H41" s="196"/>
      <c r="I41" s="197"/>
      <c r="J41" s="196"/>
      <c r="K41" s="197"/>
      <c r="L41" s="197"/>
      <c r="M41" s="197"/>
      <c r="N41" s="197"/>
      <c r="O41" s="197"/>
      <c r="P41" s="197"/>
      <c r="Q41" s="197"/>
      <c r="R41" s="197"/>
      <c r="S41" s="197"/>
      <c r="T41" s="197"/>
      <c r="U41" s="197"/>
      <c r="V41" s="197"/>
      <c r="W41" s="197"/>
      <c r="X41" s="197"/>
      <c r="Y41" s="197"/>
      <c r="Z41" s="197"/>
      <c r="AA41" s="198"/>
    </row>
    <row r="42" spans="1:27" ht="16.5" x14ac:dyDescent="0.2">
      <c r="A42" s="195" t="s">
        <v>16</v>
      </c>
      <c r="B42" s="196" t="s">
        <v>472</v>
      </c>
      <c r="C42" s="197"/>
      <c r="D42" s="200">
        <v>0</v>
      </c>
      <c r="E42" s="200">
        <v>27</v>
      </c>
      <c r="F42" s="196"/>
      <c r="G42" s="196"/>
      <c r="H42" s="196"/>
      <c r="I42" s="197"/>
      <c r="J42" s="196"/>
      <c r="K42" s="197"/>
      <c r="L42" s="197"/>
      <c r="M42" s="197"/>
      <c r="N42" s="197"/>
      <c r="O42" s="197"/>
      <c r="P42" s="197"/>
      <c r="Q42" s="197"/>
      <c r="R42" s="197"/>
      <c r="S42" s="197"/>
      <c r="T42" s="197"/>
      <c r="U42" s="197"/>
      <c r="V42" s="197"/>
      <c r="W42" s="197"/>
      <c r="X42" s="197"/>
      <c r="Y42" s="197"/>
      <c r="Z42" s="197"/>
      <c r="AA42" s="198"/>
    </row>
    <row r="43" spans="1:27" ht="16.5" x14ac:dyDescent="0.2">
      <c r="A43" s="195" t="s">
        <v>17</v>
      </c>
      <c r="B43" s="196" t="s">
        <v>472</v>
      </c>
      <c r="C43" s="197"/>
      <c r="D43" s="200">
        <v>0</v>
      </c>
      <c r="E43" s="200">
        <v>27</v>
      </c>
      <c r="F43" s="196"/>
      <c r="G43" s="196"/>
      <c r="H43" s="196"/>
      <c r="I43" s="197"/>
      <c r="J43" s="196"/>
      <c r="K43" s="197"/>
      <c r="L43" s="197"/>
      <c r="M43" s="197"/>
      <c r="N43" s="197"/>
      <c r="O43" s="197"/>
      <c r="P43" s="197"/>
      <c r="Q43" s="197"/>
      <c r="R43" s="197"/>
      <c r="S43" s="197"/>
      <c r="T43" s="197"/>
      <c r="U43" s="197"/>
      <c r="V43" s="197"/>
      <c r="W43" s="197"/>
      <c r="X43" s="197"/>
      <c r="Y43" s="197"/>
      <c r="Z43" s="197"/>
      <c r="AA43" s="198"/>
    </row>
    <row r="44" spans="1:27" x14ac:dyDescent="0.2">
      <c r="A44" s="195"/>
      <c r="B44" s="196"/>
      <c r="C44" s="197"/>
      <c r="D44" s="196"/>
      <c r="E44" s="196"/>
      <c r="F44" s="196"/>
      <c r="G44" s="197"/>
      <c r="H44" s="197"/>
      <c r="I44" s="197"/>
      <c r="J44" s="197"/>
      <c r="K44" s="197"/>
      <c r="L44" s="197"/>
      <c r="M44" s="197"/>
      <c r="N44" s="197"/>
      <c r="O44" s="197"/>
      <c r="P44" s="197"/>
      <c r="Q44" s="197"/>
      <c r="R44" s="197"/>
      <c r="S44" s="197"/>
      <c r="T44" s="197"/>
      <c r="U44" s="197"/>
      <c r="V44" s="197"/>
      <c r="W44" s="197"/>
      <c r="X44" s="197"/>
      <c r="Y44" s="197"/>
      <c r="Z44" s="197"/>
      <c r="AA44" s="198"/>
    </row>
    <row r="45" spans="1:27" s="194" customFormat="1" ht="15" x14ac:dyDescent="0.25">
      <c r="A45" s="189" t="s">
        <v>37</v>
      </c>
      <c r="B45" s="190"/>
      <c r="C45" s="191"/>
      <c r="D45" s="190"/>
      <c r="E45" s="190"/>
      <c r="F45" s="190"/>
      <c r="G45" s="191"/>
      <c r="H45" s="191"/>
      <c r="I45" s="191"/>
      <c r="J45" s="191"/>
      <c r="K45" s="191"/>
      <c r="L45" s="191"/>
      <c r="M45" s="191"/>
      <c r="N45" s="191"/>
      <c r="O45" s="191"/>
      <c r="P45" s="191"/>
      <c r="Q45" s="191"/>
      <c r="R45" s="191"/>
      <c r="S45" s="191"/>
      <c r="T45" s="191"/>
      <c r="U45" s="191"/>
      <c r="V45" s="191"/>
      <c r="W45" s="191"/>
      <c r="X45" s="191"/>
      <c r="Y45" s="191"/>
      <c r="Z45" s="191"/>
      <c r="AA45" s="193"/>
    </row>
    <row r="46" spans="1:27" x14ac:dyDescent="0.2">
      <c r="A46" s="195" t="s">
        <v>2</v>
      </c>
      <c r="B46" s="196" t="s">
        <v>12</v>
      </c>
      <c r="C46" s="197"/>
      <c r="D46" s="200">
        <v>0</v>
      </c>
      <c r="E46" s="200">
        <v>153</v>
      </c>
      <c r="F46" s="200"/>
      <c r="G46" s="196"/>
      <c r="H46" s="197"/>
      <c r="I46" s="197"/>
      <c r="J46" s="197"/>
      <c r="K46" s="197"/>
      <c r="L46" s="197"/>
      <c r="M46" s="197"/>
      <c r="N46" s="197"/>
      <c r="O46" s="197"/>
      <c r="P46" s="197"/>
      <c r="Q46" s="197"/>
      <c r="R46" s="197"/>
      <c r="S46" s="197"/>
      <c r="T46" s="197"/>
      <c r="U46" s="197"/>
      <c r="V46" s="197"/>
      <c r="W46" s="197"/>
      <c r="X46" s="197"/>
      <c r="Y46" s="197"/>
      <c r="Z46" s="197"/>
      <c r="AA46" s="198"/>
    </row>
    <row r="47" spans="1:27" x14ac:dyDescent="0.2">
      <c r="A47" s="195" t="s">
        <v>397</v>
      </c>
      <c r="B47" s="196" t="s">
        <v>15</v>
      </c>
      <c r="C47" s="197"/>
      <c r="D47" s="200">
        <v>0</v>
      </c>
      <c r="E47" s="200">
        <v>-4.3150000000000004</v>
      </c>
      <c r="F47" s="200"/>
      <c r="G47" s="196"/>
      <c r="H47" s="196"/>
      <c r="I47" s="196"/>
      <c r="J47" s="196"/>
      <c r="K47" s="196"/>
      <c r="L47" s="197"/>
      <c r="M47" s="197"/>
      <c r="N47" s="197"/>
      <c r="O47" s="197"/>
      <c r="P47" s="197"/>
      <c r="Q47" s="197"/>
      <c r="R47" s="197"/>
      <c r="S47" s="197"/>
      <c r="T47" s="197"/>
      <c r="U47" s="197"/>
      <c r="V47" s="197"/>
      <c r="W47" s="197"/>
      <c r="X47" s="197"/>
      <c r="Y47" s="197"/>
      <c r="Z47" s="197"/>
      <c r="AA47" s="198"/>
    </row>
    <row r="48" spans="1:27" x14ac:dyDescent="0.2">
      <c r="A48" s="195" t="s">
        <v>398</v>
      </c>
      <c r="B48" s="196" t="s">
        <v>15</v>
      </c>
      <c r="C48" s="197"/>
      <c r="D48" s="200">
        <v>0</v>
      </c>
      <c r="E48" s="200">
        <v>1.7</v>
      </c>
      <c r="F48" s="200"/>
      <c r="G48" s="196"/>
      <c r="H48" s="196"/>
      <c r="I48" s="196"/>
      <c r="J48" s="196"/>
      <c r="K48" s="196"/>
      <c r="L48" s="197"/>
      <c r="M48" s="197"/>
      <c r="N48" s="197"/>
      <c r="O48" s="197"/>
      <c r="P48" s="197"/>
      <c r="Q48" s="197"/>
      <c r="R48" s="197"/>
      <c r="S48" s="197"/>
      <c r="T48" s="197"/>
      <c r="U48" s="197"/>
      <c r="V48" s="197"/>
      <c r="W48" s="197"/>
      <c r="X48" s="197"/>
      <c r="Y48" s="197"/>
      <c r="Z48" s="197"/>
      <c r="AA48" s="198"/>
    </row>
    <row r="49" spans="1:27" ht="16.5" x14ac:dyDescent="0.2">
      <c r="A49" s="195" t="s">
        <v>16</v>
      </c>
      <c r="B49" s="196" t="s">
        <v>472</v>
      </c>
      <c r="C49" s="197"/>
      <c r="D49" s="200">
        <v>0</v>
      </c>
      <c r="E49" s="200">
        <v>0</v>
      </c>
      <c r="F49" s="200"/>
      <c r="G49" s="196"/>
      <c r="H49" s="196"/>
      <c r="I49" s="197"/>
      <c r="J49" s="197"/>
      <c r="K49" s="197"/>
      <c r="L49" s="197"/>
      <c r="M49" s="197"/>
      <c r="N49" s="197"/>
      <c r="O49" s="197"/>
      <c r="P49" s="197"/>
      <c r="Q49" s="197"/>
      <c r="R49" s="197"/>
      <c r="S49" s="197"/>
      <c r="T49" s="197"/>
      <c r="U49" s="197"/>
      <c r="V49" s="197"/>
      <c r="W49" s="197"/>
      <c r="X49" s="197"/>
      <c r="Y49" s="197"/>
      <c r="Z49" s="197"/>
      <c r="AA49" s="198"/>
    </row>
    <row r="50" spans="1:27" ht="16.5" x14ac:dyDescent="0.2">
      <c r="A50" s="195" t="s">
        <v>17</v>
      </c>
      <c r="B50" s="196" t="s">
        <v>472</v>
      </c>
      <c r="C50" s="197"/>
      <c r="D50" s="200">
        <v>0</v>
      </c>
      <c r="E50" s="200">
        <v>0</v>
      </c>
      <c r="F50" s="200"/>
      <c r="G50" s="196"/>
      <c r="H50" s="196"/>
      <c r="I50" s="197"/>
      <c r="J50" s="197"/>
      <c r="K50" s="197"/>
      <c r="L50" s="197"/>
      <c r="M50" s="197"/>
      <c r="N50" s="197"/>
      <c r="O50" s="197"/>
      <c r="P50" s="197"/>
      <c r="Q50" s="197"/>
      <c r="R50" s="197"/>
      <c r="S50" s="197"/>
      <c r="T50" s="197"/>
      <c r="U50" s="197"/>
      <c r="V50" s="197"/>
      <c r="W50" s="197"/>
      <c r="X50" s="197"/>
      <c r="Y50" s="197"/>
      <c r="Z50" s="197"/>
      <c r="AA50" s="198"/>
    </row>
    <row r="51" spans="1:27" x14ac:dyDescent="0.2">
      <c r="A51" s="195"/>
      <c r="B51" s="196"/>
      <c r="C51" s="197"/>
      <c r="D51" s="196"/>
      <c r="E51" s="196"/>
      <c r="F51" s="197"/>
      <c r="G51" s="197"/>
      <c r="H51" s="197"/>
      <c r="I51" s="197"/>
      <c r="J51" s="197"/>
      <c r="K51" s="197"/>
      <c r="L51" s="197"/>
      <c r="M51" s="197"/>
      <c r="N51" s="197"/>
      <c r="O51" s="197"/>
      <c r="P51" s="197"/>
      <c r="Q51" s="197"/>
      <c r="R51" s="197"/>
      <c r="S51" s="197"/>
      <c r="T51" s="197"/>
      <c r="U51" s="197"/>
      <c r="V51" s="197"/>
      <c r="W51" s="197"/>
      <c r="X51" s="197"/>
      <c r="Y51" s="197"/>
      <c r="Z51" s="197"/>
      <c r="AA51" s="198"/>
    </row>
    <row r="52" spans="1:27" s="194" customFormat="1" ht="15" x14ac:dyDescent="0.25">
      <c r="A52" s="189" t="s">
        <v>36</v>
      </c>
      <c r="B52" s="190"/>
      <c r="C52" s="191"/>
      <c r="D52" s="190"/>
      <c r="E52" s="190"/>
      <c r="F52" s="191"/>
      <c r="G52" s="191"/>
      <c r="H52" s="191"/>
      <c r="I52" s="191"/>
      <c r="J52" s="191"/>
      <c r="K52" s="191"/>
      <c r="L52" s="191"/>
      <c r="M52" s="191"/>
      <c r="N52" s="191"/>
      <c r="O52" s="191"/>
      <c r="P52" s="191"/>
      <c r="Q52" s="191"/>
      <c r="R52" s="191"/>
      <c r="S52" s="191"/>
      <c r="T52" s="191"/>
      <c r="U52" s="191"/>
      <c r="V52" s="191"/>
      <c r="W52" s="191"/>
      <c r="X52" s="191"/>
      <c r="Y52" s="191"/>
      <c r="Z52" s="191"/>
      <c r="AA52" s="193"/>
    </row>
    <row r="53" spans="1:27" x14ac:dyDescent="0.2">
      <c r="A53" s="195" t="s">
        <v>2</v>
      </c>
      <c r="B53" s="196" t="s">
        <v>12</v>
      </c>
      <c r="C53" s="197"/>
      <c r="D53" s="200">
        <v>0</v>
      </c>
      <c r="E53" s="200">
        <v>0</v>
      </c>
      <c r="F53" s="196"/>
      <c r="G53" s="197"/>
      <c r="H53" s="197"/>
      <c r="I53" s="197"/>
      <c r="J53" s="197"/>
      <c r="K53" s="197"/>
      <c r="L53" s="197"/>
      <c r="M53" s="197"/>
      <c r="N53" s="197"/>
      <c r="O53" s="197"/>
      <c r="P53" s="197"/>
      <c r="Q53" s="197"/>
      <c r="R53" s="197"/>
      <c r="S53" s="197"/>
      <c r="T53" s="197"/>
      <c r="U53" s="197"/>
      <c r="V53" s="197"/>
      <c r="W53" s="197"/>
      <c r="X53" s="197"/>
      <c r="Y53" s="197"/>
      <c r="Z53" s="197"/>
      <c r="AA53" s="198"/>
    </row>
    <row r="54" spans="1:27" x14ac:dyDescent="0.2">
      <c r="A54" s="195" t="s">
        <v>397</v>
      </c>
      <c r="B54" s="196" t="s">
        <v>15</v>
      </c>
      <c r="C54" s="197"/>
      <c r="D54" s="200">
        <v>0</v>
      </c>
      <c r="E54" s="200">
        <v>0</v>
      </c>
      <c r="F54" s="196"/>
      <c r="G54" s="197"/>
      <c r="H54" s="197"/>
      <c r="I54" s="197"/>
      <c r="J54" s="197"/>
      <c r="K54" s="197"/>
      <c r="L54" s="197"/>
      <c r="M54" s="197"/>
      <c r="N54" s="197"/>
      <c r="O54" s="197"/>
      <c r="P54" s="197"/>
      <c r="Q54" s="197"/>
      <c r="R54" s="197"/>
      <c r="S54" s="197"/>
      <c r="T54" s="197"/>
      <c r="U54" s="197"/>
      <c r="V54" s="197"/>
      <c r="W54" s="197"/>
      <c r="X54" s="197"/>
      <c r="Y54" s="197"/>
      <c r="Z54" s="197"/>
      <c r="AA54" s="198"/>
    </row>
    <row r="55" spans="1:27" x14ac:dyDescent="0.2">
      <c r="A55" s="195" t="s">
        <v>398</v>
      </c>
      <c r="B55" s="196" t="s">
        <v>15</v>
      </c>
      <c r="C55" s="197"/>
      <c r="D55" s="200">
        <v>0</v>
      </c>
      <c r="E55" s="200">
        <v>0</v>
      </c>
      <c r="F55" s="196"/>
      <c r="G55" s="197"/>
      <c r="H55" s="197"/>
      <c r="I55" s="197"/>
      <c r="J55" s="197"/>
      <c r="K55" s="197"/>
      <c r="L55" s="197"/>
      <c r="M55" s="197"/>
      <c r="N55" s="197"/>
      <c r="O55" s="197"/>
      <c r="P55" s="197"/>
      <c r="Q55" s="197"/>
      <c r="R55" s="197"/>
      <c r="S55" s="197"/>
      <c r="T55" s="197"/>
      <c r="U55" s="197"/>
      <c r="V55" s="197"/>
      <c r="W55" s="197"/>
      <c r="X55" s="197"/>
      <c r="Y55" s="197"/>
      <c r="Z55" s="197"/>
      <c r="AA55" s="198"/>
    </row>
    <row r="56" spans="1:27" ht="16.5" x14ac:dyDescent="0.2">
      <c r="A56" s="195" t="s">
        <v>16</v>
      </c>
      <c r="B56" s="196" t="s">
        <v>472</v>
      </c>
      <c r="C56" s="197"/>
      <c r="D56" s="200">
        <v>0</v>
      </c>
      <c r="E56" s="200">
        <v>0</v>
      </c>
      <c r="F56" s="196"/>
      <c r="G56" s="197"/>
      <c r="H56" s="197"/>
      <c r="I56" s="197"/>
      <c r="J56" s="197"/>
      <c r="K56" s="197"/>
      <c r="L56" s="197"/>
      <c r="M56" s="197"/>
      <c r="N56" s="197"/>
      <c r="O56" s="197"/>
      <c r="P56" s="197"/>
      <c r="Q56" s="197"/>
      <c r="R56" s="197"/>
      <c r="S56" s="197"/>
      <c r="T56" s="197"/>
      <c r="U56" s="197"/>
      <c r="V56" s="197"/>
      <c r="W56" s="197"/>
      <c r="X56" s="197"/>
      <c r="Y56" s="197"/>
      <c r="Z56" s="197"/>
      <c r="AA56" s="198"/>
    </row>
    <row r="57" spans="1:27" ht="17.25" thickBot="1" x14ac:dyDescent="0.25">
      <c r="A57" s="202" t="s">
        <v>17</v>
      </c>
      <c r="B57" s="203" t="s">
        <v>472</v>
      </c>
      <c r="C57" s="204"/>
      <c r="D57" s="205">
        <v>0</v>
      </c>
      <c r="E57" s="205">
        <v>0</v>
      </c>
      <c r="F57" s="203"/>
      <c r="G57" s="204"/>
      <c r="H57" s="204"/>
      <c r="I57" s="204"/>
      <c r="J57" s="204"/>
      <c r="K57" s="204"/>
      <c r="L57" s="204"/>
      <c r="M57" s="204"/>
      <c r="N57" s="204"/>
      <c r="O57" s="204"/>
      <c r="P57" s="204"/>
      <c r="Q57" s="204"/>
      <c r="R57" s="204"/>
      <c r="S57" s="204"/>
      <c r="T57" s="204"/>
      <c r="U57" s="204"/>
      <c r="V57" s="204"/>
      <c r="W57" s="204"/>
      <c r="X57" s="204"/>
      <c r="Y57" s="204"/>
      <c r="Z57" s="204"/>
      <c r="AA57" s="206"/>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A01F8-9BF3-4AEC-8F4D-1BB8511A2CE7}">
  <dimension ref="A1:J67"/>
  <sheetViews>
    <sheetView workbookViewId="0">
      <selection activeCell="D51" sqref="D51"/>
    </sheetView>
  </sheetViews>
  <sheetFormatPr defaultRowHeight="12.75" x14ac:dyDescent="0.2"/>
  <cols>
    <col min="1" max="1" width="27.140625" style="150" bestFit="1" customWidth="1"/>
    <col min="2" max="2" width="9.140625" style="152"/>
    <col min="3" max="6" width="9.140625" style="150"/>
    <col min="7" max="8" width="14.28515625" style="150" bestFit="1" customWidth="1"/>
    <col min="9" max="16384" width="9.140625" style="150"/>
  </cols>
  <sheetData>
    <row r="1" spans="1:10" ht="25.5" x14ac:dyDescent="0.2">
      <c r="A1" s="132" t="s">
        <v>38</v>
      </c>
      <c r="B1" s="159" t="s">
        <v>383</v>
      </c>
      <c r="C1" s="144" t="s">
        <v>2</v>
      </c>
      <c r="D1" s="144" t="s">
        <v>14</v>
      </c>
      <c r="E1" s="144" t="s">
        <v>1</v>
      </c>
      <c r="F1" s="144" t="s">
        <v>49</v>
      </c>
      <c r="G1" s="181" t="s">
        <v>438</v>
      </c>
      <c r="H1" s="181" t="s">
        <v>439</v>
      </c>
      <c r="I1" s="144" t="s">
        <v>16</v>
      </c>
      <c r="J1" s="144" t="s">
        <v>17</v>
      </c>
    </row>
    <row r="2" spans="1:10" x14ac:dyDescent="0.2">
      <c r="A2" s="132"/>
      <c r="B2" s="160" t="s">
        <v>102</v>
      </c>
      <c r="C2" s="145" t="s">
        <v>12</v>
      </c>
      <c r="D2" s="145" t="s">
        <v>15</v>
      </c>
      <c r="E2" s="145" t="s">
        <v>15</v>
      </c>
      <c r="F2" s="145" t="s">
        <v>15</v>
      </c>
      <c r="G2" s="145" t="s">
        <v>15</v>
      </c>
      <c r="H2" s="145" t="s">
        <v>15</v>
      </c>
      <c r="I2" s="145" t="s">
        <v>39</v>
      </c>
      <c r="J2" s="145" t="s">
        <v>39</v>
      </c>
    </row>
    <row r="3" spans="1:10" x14ac:dyDescent="0.2">
      <c r="A3" s="132"/>
      <c r="F3" s="144"/>
      <c r="G3" s="144"/>
      <c r="H3" s="144"/>
      <c r="I3" s="144"/>
      <c r="J3" s="144"/>
    </row>
    <row r="4" spans="1:10" s="151" customFormat="1" x14ac:dyDescent="0.2">
      <c r="A4" s="148" t="s">
        <v>384</v>
      </c>
      <c r="B4" s="161">
        <v>0</v>
      </c>
      <c r="C4" s="153">
        <v>0</v>
      </c>
      <c r="D4" s="153">
        <v>0</v>
      </c>
      <c r="E4" s="153">
        <v>0</v>
      </c>
      <c r="F4" s="153">
        <v>0</v>
      </c>
      <c r="G4" s="153">
        <v>0</v>
      </c>
      <c r="H4" s="153">
        <v>0</v>
      </c>
      <c r="I4" s="153">
        <v>0</v>
      </c>
      <c r="J4" s="153">
        <v>0</v>
      </c>
    </row>
    <row r="5" spans="1:10" x14ac:dyDescent="0.2">
      <c r="A5" s="132"/>
    </row>
    <row r="6" spans="1:10" x14ac:dyDescent="0.2">
      <c r="A6" s="132"/>
    </row>
    <row r="7" spans="1:10" s="151" customFormat="1" x14ac:dyDescent="0.2">
      <c r="A7" s="134" t="s">
        <v>360</v>
      </c>
      <c r="B7" s="162"/>
    </row>
    <row r="8" spans="1:10" x14ac:dyDescent="0.2">
      <c r="A8" s="133" t="s">
        <v>40</v>
      </c>
      <c r="B8" s="163">
        <v>7000</v>
      </c>
      <c r="C8" s="146">
        <f>B8/100</f>
        <v>70</v>
      </c>
      <c r="D8" s="147">
        <v>2.4</v>
      </c>
      <c r="E8" s="146">
        <v>2.95</v>
      </c>
      <c r="F8" s="146">
        <v>0.98</v>
      </c>
      <c r="G8" s="146">
        <v>0.49</v>
      </c>
      <c r="H8" s="147">
        <v>1.2</v>
      </c>
      <c r="I8" s="147">
        <v>2.3519999999999999</v>
      </c>
      <c r="J8" s="147">
        <v>7.08</v>
      </c>
    </row>
    <row r="9" spans="1:10" x14ac:dyDescent="0.2">
      <c r="A9" s="133" t="s">
        <v>41</v>
      </c>
      <c r="B9" s="163">
        <v>9000</v>
      </c>
      <c r="C9" s="146">
        <f>B9/100</f>
        <v>90</v>
      </c>
      <c r="D9" s="146">
        <v>3.15</v>
      </c>
      <c r="E9" s="146">
        <v>2.2799999999999998</v>
      </c>
      <c r="F9" s="146">
        <v>1.05</v>
      </c>
      <c r="G9" s="147">
        <v>0.52500000000000002</v>
      </c>
      <c r="H9" s="147">
        <v>1.58</v>
      </c>
      <c r="I9" s="147">
        <v>3.3075000000000001</v>
      </c>
      <c r="J9" s="147">
        <v>7.1820000000000004</v>
      </c>
    </row>
    <row r="10" spans="1:10" x14ac:dyDescent="0.2">
      <c r="A10" s="133"/>
      <c r="B10" s="163"/>
      <c r="C10" s="146"/>
      <c r="D10" s="146"/>
      <c r="E10" s="146"/>
      <c r="F10" s="146"/>
      <c r="G10" s="146"/>
      <c r="H10" s="146"/>
      <c r="I10" s="147"/>
      <c r="J10" s="147"/>
    </row>
    <row r="11" spans="1:10" x14ac:dyDescent="0.2">
      <c r="A11" s="133"/>
      <c r="B11" s="163"/>
      <c r="C11" s="146"/>
      <c r="D11" s="146"/>
      <c r="E11" s="146"/>
      <c r="F11" s="146"/>
      <c r="G11" s="146"/>
      <c r="H11" s="146"/>
      <c r="I11" s="147"/>
      <c r="J11" s="147"/>
    </row>
    <row r="12" spans="1:10" x14ac:dyDescent="0.2">
      <c r="A12" s="133"/>
      <c r="B12" s="163"/>
      <c r="C12" s="146"/>
      <c r="D12" s="146"/>
      <c r="E12" s="146"/>
      <c r="F12" s="146"/>
      <c r="G12" s="146"/>
      <c r="H12" s="146"/>
      <c r="I12" s="147"/>
      <c r="J12" s="147"/>
    </row>
    <row r="13" spans="1:10" x14ac:dyDescent="0.2">
      <c r="A13" s="133"/>
      <c r="B13" s="163"/>
      <c r="C13" s="146"/>
      <c r="D13" s="146"/>
      <c r="E13" s="146"/>
      <c r="F13" s="146"/>
      <c r="G13" s="146"/>
      <c r="H13" s="146"/>
      <c r="I13" s="147"/>
      <c r="J13" s="147"/>
    </row>
    <row r="14" spans="1:10" x14ac:dyDescent="0.2">
      <c r="A14" s="133"/>
      <c r="I14" s="147"/>
      <c r="J14" s="147"/>
    </row>
    <row r="15" spans="1:10" x14ac:dyDescent="0.2">
      <c r="A15" s="133"/>
      <c r="I15" s="147"/>
      <c r="J15" s="147"/>
    </row>
    <row r="16" spans="1:10" s="151" customFormat="1" x14ac:dyDescent="0.2">
      <c r="A16" s="134" t="s">
        <v>361</v>
      </c>
      <c r="B16" s="162"/>
      <c r="I16" s="147"/>
      <c r="J16" s="147"/>
    </row>
    <row r="17" spans="1:10" s="149" customFormat="1" x14ac:dyDescent="0.2">
      <c r="A17" s="133" t="s">
        <v>42</v>
      </c>
      <c r="B17" s="164">
        <v>2065</v>
      </c>
      <c r="C17" s="155">
        <f>B17/100</f>
        <v>20.65</v>
      </c>
      <c r="D17" s="155">
        <v>1.71</v>
      </c>
      <c r="E17" s="156">
        <v>0.96499999999999997</v>
      </c>
      <c r="F17" s="156">
        <v>0.59499999999999997</v>
      </c>
      <c r="G17" s="156">
        <v>0.3</v>
      </c>
      <c r="H17" s="156">
        <v>0.85499999999999998</v>
      </c>
      <c r="I17" s="157">
        <v>1.01745</v>
      </c>
      <c r="J17" s="157">
        <v>1.65015</v>
      </c>
    </row>
    <row r="18" spans="1:10" s="149" customFormat="1" x14ac:dyDescent="0.2">
      <c r="A18" s="133" t="s">
        <v>43</v>
      </c>
      <c r="B18" s="164">
        <v>5480</v>
      </c>
      <c r="C18" s="155">
        <f>B18/100</f>
        <v>54.8</v>
      </c>
      <c r="D18" s="156">
        <v>2.7829999999999999</v>
      </c>
      <c r="E18" s="155">
        <v>1.53</v>
      </c>
      <c r="F18" s="155">
        <v>0.47199999999999998</v>
      </c>
      <c r="G18" s="156">
        <v>0.23599999999999999</v>
      </c>
      <c r="H18" s="156">
        <v>1.3915</v>
      </c>
      <c r="I18" s="147">
        <v>1.3135759999999999</v>
      </c>
      <c r="J18" s="147">
        <v>4.2579900000000004</v>
      </c>
    </row>
    <row r="19" spans="1:10" s="149" customFormat="1" x14ac:dyDescent="0.2">
      <c r="A19" s="154"/>
      <c r="B19" s="152"/>
    </row>
    <row r="20" spans="1:10" x14ac:dyDescent="0.2">
      <c r="A20" s="133"/>
      <c r="B20" s="137"/>
      <c r="C20" s="133"/>
      <c r="D20" s="133"/>
      <c r="E20" s="133"/>
      <c r="F20" s="133"/>
      <c r="G20" s="133"/>
      <c r="H20" s="149"/>
    </row>
    <row r="21" spans="1:10" x14ac:dyDescent="0.2">
      <c r="A21" s="133"/>
      <c r="B21" s="137"/>
      <c r="C21" s="133"/>
      <c r="D21" s="133"/>
      <c r="E21" s="133"/>
      <c r="F21" s="133"/>
      <c r="G21" s="133"/>
      <c r="H21" s="149"/>
    </row>
    <row r="22" spans="1:10" x14ac:dyDescent="0.2">
      <c r="A22" s="133"/>
      <c r="B22" s="137"/>
      <c r="C22" s="133"/>
      <c r="D22" s="133"/>
      <c r="E22" s="133"/>
      <c r="F22" s="133"/>
      <c r="G22" s="133"/>
      <c r="H22" s="149"/>
    </row>
    <row r="23" spans="1:10" x14ac:dyDescent="0.2">
      <c r="A23" s="133"/>
      <c r="B23" s="137"/>
      <c r="C23" s="133"/>
      <c r="D23" s="133"/>
      <c r="E23" s="133"/>
      <c r="F23" s="133"/>
      <c r="G23" s="133"/>
      <c r="H23" s="149"/>
    </row>
    <row r="24" spans="1:10" x14ac:dyDescent="0.2">
      <c r="A24" s="133"/>
      <c r="B24" s="137"/>
      <c r="C24" s="133"/>
      <c r="D24" s="133"/>
      <c r="E24" s="133"/>
      <c r="F24" s="133"/>
      <c r="G24" s="133"/>
      <c r="H24" s="149"/>
    </row>
    <row r="25" spans="1:10" x14ac:dyDescent="0.2">
      <c r="A25" s="133"/>
      <c r="B25" s="137"/>
      <c r="C25" s="133"/>
      <c r="D25" s="133"/>
      <c r="E25" s="133"/>
      <c r="F25" s="133"/>
      <c r="G25" s="133"/>
      <c r="H25" s="149"/>
    </row>
    <row r="26" spans="1:10" x14ac:dyDescent="0.2">
      <c r="A26" s="133"/>
      <c r="B26" s="137"/>
      <c r="C26" s="133"/>
      <c r="D26" s="133"/>
      <c r="E26" s="133"/>
      <c r="F26" s="133"/>
      <c r="G26" s="133"/>
      <c r="H26" s="149"/>
    </row>
    <row r="27" spans="1:10" x14ac:dyDescent="0.2">
      <c r="A27" s="133"/>
      <c r="B27" s="137"/>
      <c r="C27" s="133"/>
      <c r="D27" s="133"/>
      <c r="E27" s="133"/>
      <c r="F27" s="133"/>
      <c r="G27" s="133"/>
      <c r="H27" s="149"/>
    </row>
    <row r="28" spans="1:10" x14ac:dyDescent="0.2">
      <c r="A28" s="133"/>
      <c r="B28" s="137"/>
      <c r="C28" s="133"/>
      <c r="D28" s="133"/>
      <c r="E28" s="133"/>
      <c r="F28" s="133"/>
      <c r="G28" s="133"/>
      <c r="H28" s="149"/>
    </row>
    <row r="29" spans="1:10" x14ac:dyDescent="0.2">
      <c r="A29" s="133"/>
      <c r="B29" s="137"/>
      <c r="C29" s="133"/>
      <c r="D29" s="133"/>
      <c r="E29" s="133"/>
      <c r="F29" s="133"/>
      <c r="G29" s="133"/>
      <c r="H29" s="149"/>
    </row>
    <row r="30" spans="1:10" x14ac:dyDescent="0.2">
      <c r="A30" s="133"/>
      <c r="B30" s="137"/>
      <c r="C30" s="133"/>
      <c r="D30" s="133"/>
      <c r="E30" s="133"/>
      <c r="F30" s="133"/>
      <c r="G30" s="133"/>
      <c r="H30" s="149"/>
    </row>
    <row r="31" spans="1:10" x14ac:dyDescent="0.2">
      <c r="A31" s="133"/>
      <c r="B31" s="137"/>
      <c r="C31" s="133"/>
      <c r="D31" s="133"/>
      <c r="E31" s="133"/>
      <c r="F31" s="133"/>
      <c r="G31" s="133"/>
      <c r="H31" s="149"/>
    </row>
    <row r="32" spans="1:10" x14ac:dyDescent="0.2">
      <c r="A32" s="133"/>
      <c r="B32" s="137"/>
      <c r="C32" s="133"/>
      <c r="D32" s="133"/>
      <c r="E32" s="133"/>
      <c r="F32" s="133"/>
      <c r="G32" s="133"/>
      <c r="H32" s="149"/>
    </row>
    <row r="33" spans="1:8" x14ac:dyDescent="0.2">
      <c r="A33" s="133"/>
      <c r="B33" s="137"/>
      <c r="C33" s="133"/>
      <c r="D33" s="133"/>
      <c r="E33" s="133"/>
      <c r="F33" s="133"/>
      <c r="G33" s="133"/>
      <c r="H33" s="149"/>
    </row>
    <row r="34" spans="1:8" x14ac:dyDescent="0.2">
      <c r="A34" s="133"/>
      <c r="B34" s="137"/>
      <c r="C34" s="133"/>
      <c r="D34" s="133"/>
      <c r="E34" s="133"/>
      <c r="F34" s="133"/>
      <c r="G34" s="133"/>
      <c r="H34" s="149"/>
    </row>
    <row r="35" spans="1:8" x14ac:dyDescent="0.2">
      <c r="A35" s="133"/>
      <c r="B35" s="137"/>
      <c r="C35" s="133"/>
      <c r="D35" s="133"/>
      <c r="E35" s="133"/>
      <c r="F35" s="133"/>
      <c r="G35" s="133"/>
      <c r="H35" s="149"/>
    </row>
    <row r="36" spans="1:8" x14ac:dyDescent="0.2">
      <c r="A36" s="133"/>
      <c r="B36" s="137"/>
      <c r="C36" s="133"/>
      <c r="D36" s="133"/>
      <c r="E36" s="133"/>
      <c r="F36" s="133"/>
      <c r="G36" s="133"/>
      <c r="H36" s="149"/>
    </row>
    <row r="37" spans="1:8" x14ac:dyDescent="0.2">
      <c r="A37" s="133"/>
      <c r="B37" s="137"/>
      <c r="C37" s="133"/>
      <c r="D37" s="133"/>
      <c r="E37" s="133"/>
      <c r="F37" s="133"/>
      <c r="G37" s="133"/>
      <c r="H37" s="149"/>
    </row>
    <row r="38" spans="1:8" x14ac:dyDescent="0.2">
      <c r="A38" s="133"/>
      <c r="B38" s="137"/>
      <c r="C38" s="133"/>
      <c r="D38" s="133"/>
      <c r="E38" s="133"/>
      <c r="F38" s="133"/>
      <c r="G38" s="133"/>
      <c r="H38" s="149"/>
    </row>
    <row r="39" spans="1:8" x14ac:dyDescent="0.2">
      <c r="A39" s="133"/>
      <c r="B39" s="137"/>
      <c r="C39" s="133"/>
      <c r="D39" s="133"/>
      <c r="E39" s="133"/>
      <c r="F39" s="133"/>
      <c r="G39" s="133"/>
      <c r="H39" s="149"/>
    </row>
    <row r="40" spans="1:8" x14ac:dyDescent="0.2">
      <c r="A40" s="133"/>
      <c r="B40" s="137"/>
      <c r="C40" s="133"/>
      <c r="D40" s="133"/>
      <c r="E40" s="133"/>
      <c r="F40" s="133"/>
      <c r="G40" s="133"/>
      <c r="H40" s="149"/>
    </row>
    <row r="41" spans="1:8" x14ac:dyDescent="0.2">
      <c r="A41" s="133"/>
      <c r="B41" s="137"/>
      <c r="C41" s="133"/>
      <c r="D41" s="133"/>
      <c r="E41" s="133"/>
      <c r="F41" s="133"/>
      <c r="G41" s="133"/>
      <c r="H41" s="149"/>
    </row>
    <row r="42" spans="1:8" x14ac:dyDescent="0.2">
      <c r="A42" s="133"/>
      <c r="B42" s="137"/>
      <c r="C42" s="133"/>
      <c r="D42" s="133"/>
      <c r="E42" s="133"/>
      <c r="F42" s="133"/>
      <c r="G42" s="133"/>
      <c r="H42" s="149"/>
    </row>
    <row r="43" spans="1:8" s="151" customFormat="1" x14ac:dyDescent="0.2">
      <c r="A43" s="134" t="s">
        <v>362</v>
      </c>
      <c r="B43" s="136"/>
      <c r="C43" s="135"/>
      <c r="D43" s="135"/>
      <c r="E43" s="135"/>
      <c r="F43" s="135"/>
      <c r="G43" s="135"/>
    </row>
    <row r="44" spans="1:8" x14ac:dyDescent="0.2">
      <c r="A44" s="133"/>
      <c r="B44" s="137"/>
      <c r="C44" s="133"/>
      <c r="D44" s="133"/>
      <c r="E44" s="133"/>
      <c r="F44" s="133"/>
      <c r="G44" s="133"/>
      <c r="H44" s="149"/>
    </row>
    <row r="45" spans="1:8" x14ac:dyDescent="0.2">
      <c r="A45" s="133"/>
      <c r="B45" s="137"/>
      <c r="C45" s="133"/>
      <c r="D45" s="133"/>
      <c r="E45" s="133"/>
      <c r="F45" s="133"/>
      <c r="G45" s="133"/>
      <c r="H45" s="149"/>
    </row>
    <row r="46" spans="1:8" x14ac:dyDescent="0.2">
      <c r="A46" s="133"/>
      <c r="B46" s="137"/>
      <c r="C46" s="133"/>
      <c r="D46" s="133"/>
      <c r="E46" s="133"/>
      <c r="F46" s="133"/>
      <c r="G46" s="133"/>
      <c r="H46" s="149"/>
    </row>
    <row r="47" spans="1:8" x14ac:dyDescent="0.2">
      <c r="A47" s="133"/>
      <c r="B47" s="137"/>
      <c r="C47" s="133"/>
      <c r="D47" s="133"/>
      <c r="E47" s="133"/>
      <c r="F47" s="133"/>
      <c r="G47" s="133"/>
      <c r="H47" s="149"/>
    </row>
    <row r="48" spans="1:8" x14ac:dyDescent="0.2">
      <c r="A48" s="133"/>
      <c r="B48" s="137"/>
      <c r="C48" s="133"/>
      <c r="D48" s="133"/>
      <c r="E48" s="133"/>
      <c r="F48" s="133"/>
      <c r="G48" s="133"/>
      <c r="H48" s="149"/>
    </row>
    <row r="49" spans="1:8" x14ac:dyDescent="0.2">
      <c r="A49" s="133"/>
      <c r="B49" s="137"/>
      <c r="C49" s="133"/>
      <c r="D49" s="133"/>
      <c r="E49" s="133"/>
      <c r="F49" s="133"/>
      <c r="G49" s="133"/>
      <c r="H49" s="149"/>
    </row>
    <row r="50" spans="1:8" x14ac:dyDescent="0.2">
      <c r="A50" s="133"/>
      <c r="B50" s="137"/>
      <c r="C50" s="133"/>
      <c r="D50" s="133"/>
      <c r="E50" s="133"/>
      <c r="F50" s="133"/>
      <c r="G50" s="133"/>
      <c r="H50" s="149"/>
    </row>
    <row r="51" spans="1:8" x14ac:dyDescent="0.2">
      <c r="A51" s="133"/>
      <c r="B51" s="137"/>
      <c r="C51" s="133"/>
      <c r="D51" s="133"/>
      <c r="E51" s="133"/>
      <c r="F51" s="133"/>
      <c r="G51" s="133"/>
      <c r="H51" s="149"/>
    </row>
    <row r="52" spans="1:8" x14ac:dyDescent="0.2">
      <c r="A52" s="133"/>
      <c r="B52" s="137"/>
      <c r="C52" s="133"/>
      <c r="D52" s="133"/>
      <c r="E52" s="133"/>
      <c r="F52" s="133"/>
      <c r="G52" s="133"/>
      <c r="H52" s="149"/>
    </row>
    <row r="53" spans="1:8" x14ac:dyDescent="0.2">
      <c r="A53" s="133"/>
      <c r="B53" s="137"/>
      <c r="C53" s="133"/>
      <c r="D53" s="133"/>
      <c r="E53" s="133"/>
      <c r="F53" s="133"/>
      <c r="G53" s="133"/>
      <c r="H53" s="149"/>
    </row>
    <row r="54" spans="1:8" x14ac:dyDescent="0.2">
      <c r="A54" s="133"/>
      <c r="B54" s="137"/>
      <c r="C54" s="133"/>
      <c r="D54" s="133"/>
      <c r="E54" s="133"/>
      <c r="F54" s="133"/>
      <c r="G54" s="133"/>
      <c r="H54" s="149"/>
    </row>
    <row r="55" spans="1:8" x14ac:dyDescent="0.2">
      <c r="A55" s="133"/>
      <c r="B55" s="137"/>
      <c r="C55" s="133"/>
      <c r="D55" s="133"/>
      <c r="E55" s="133"/>
      <c r="F55" s="133"/>
      <c r="G55" s="133"/>
      <c r="H55" s="149"/>
    </row>
    <row r="56" spans="1:8" x14ac:dyDescent="0.2">
      <c r="A56" s="133"/>
      <c r="B56" s="137"/>
      <c r="C56" s="133"/>
      <c r="D56" s="133"/>
      <c r="E56" s="133"/>
      <c r="F56" s="133"/>
      <c r="G56" s="133"/>
      <c r="H56" s="149"/>
    </row>
    <row r="57" spans="1:8" x14ac:dyDescent="0.2">
      <c r="A57" s="133"/>
      <c r="B57" s="137"/>
      <c r="C57" s="133"/>
      <c r="D57" s="133"/>
      <c r="E57" s="133"/>
      <c r="F57" s="133"/>
      <c r="G57" s="133"/>
      <c r="H57" s="149"/>
    </row>
    <row r="58" spans="1:8" x14ac:dyDescent="0.2">
      <c r="A58" s="133"/>
      <c r="B58" s="137"/>
      <c r="C58" s="133"/>
      <c r="D58" s="133"/>
      <c r="E58" s="133"/>
      <c r="F58" s="133"/>
      <c r="G58" s="133"/>
      <c r="H58" s="149"/>
    </row>
    <row r="59" spans="1:8" x14ac:dyDescent="0.2">
      <c r="A59" s="133"/>
      <c r="B59" s="137"/>
      <c r="C59" s="133"/>
      <c r="D59" s="133"/>
      <c r="E59" s="133"/>
      <c r="F59" s="133"/>
      <c r="G59" s="133"/>
      <c r="H59" s="149"/>
    </row>
    <row r="60" spans="1:8" s="151" customFormat="1" x14ac:dyDescent="0.2">
      <c r="A60" s="134" t="s">
        <v>363</v>
      </c>
      <c r="B60" s="136"/>
      <c r="C60" s="135"/>
      <c r="D60" s="135"/>
      <c r="E60" s="135"/>
      <c r="F60" s="135"/>
      <c r="G60" s="135"/>
    </row>
    <row r="61" spans="1:8" x14ac:dyDescent="0.2">
      <c r="A61" s="133"/>
      <c r="B61" s="137"/>
      <c r="C61" s="133"/>
      <c r="D61" s="133"/>
      <c r="E61" s="133"/>
      <c r="F61" s="133"/>
      <c r="G61" s="133"/>
      <c r="H61" s="149"/>
    </row>
    <row r="62" spans="1:8" x14ac:dyDescent="0.2">
      <c r="A62" s="133"/>
      <c r="B62" s="137"/>
      <c r="C62" s="133"/>
      <c r="D62" s="133"/>
      <c r="E62" s="133"/>
      <c r="F62" s="133"/>
      <c r="G62" s="133"/>
      <c r="H62" s="149"/>
    </row>
    <row r="63" spans="1:8" x14ac:dyDescent="0.2">
      <c r="A63" s="133"/>
      <c r="B63" s="137"/>
      <c r="C63" s="133"/>
      <c r="D63" s="133"/>
      <c r="E63" s="133"/>
      <c r="F63" s="133"/>
      <c r="G63" s="133"/>
      <c r="H63" s="149"/>
    </row>
    <row r="64" spans="1:8" x14ac:dyDescent="0.2">
      <c r="A64" s="133"/>
      <c r="B64" s="137"/>
      <c r="C64" s="133"/>
      <c r="D64" s="133"/>
      <c r="E64" s="133"/>
      <c r="F64" s="133"/>
      <c r="G64" s="133"/>
      <c r="H64" s="149"/>
    </row>
    <row r="65" spans="1:8" x14ac:dyDescent="0.2">
      <c r="A65" s="133"/>
      <c r="B65" s="137"/>
      <c r="C65" s="133"/>
      <c r="D65" s="133"/>
      <c r="E65" s="133"/>
      <c r="F65" s="133"/>
      <c r="G65" s="133"/>
      <c r="H65" s="149"/>
    </row>
    <row r="66" spans="1:8" x14ac:dyDescent="0.2">
      <c r="A66" s="133"/>
      <c r="B66" s="137"/>
      <c r="C66" s="133"/>
      <c r="D66" s="133"/>
      <c r="E66" s="133"/>
      <c r="F66" s="133"/>
      <c r="G66" s="133"/>
      <c r="H66" s="149"/>
    </row>
    <row r="67" spans="1:8" x14ac:dyDescent="0.2">
      <c r="G67" s="149"/>
      <c r="H67" s="14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66638-9CA9-49E9-A7EF-49356372C0F0}">
  <dimension ref="A1:E26"/>
  <sheetViews>
    <sheetView workbookViewId="0">
      <selection activeCell="H41" sqref="H41"/>
    </sheetView>
  </sheetViews>
  <sheetFormatPr defaultRowHeight="12.75" x14ac:dyDescent="0.2"/>
  <cols>
    <col min="1" max="1" width="24" style="209" bestFit="1" customWidth="1"/>
    <col min="2" max="4" width="9.7109375" style="150" customWidth="1"/>
    <col min="5" max="5" width="14.7109375" style="150" customWidth="1"/>
    <col min="6" max="16384" width="9.140625" style="150"/>
  </cols>
  <sheetData>
    <row r="1" spans="1:5" x14ac:dyDescent="0.2">
      <c r="B1" s="210" t="s">
        <v>1</v>
      </c>
      <c r="C1" s="210" t="s">
        <v>49</v>
      </c>
      <c r="D1" s="210" t="s">
        <v>14</v>
      </c>
      <c r="E1" s="210" t="s">
        <v>50</v>
      </c>
    </row>
    <row r="2" spans="1:5" s="151" customFormat="1" x14ac:dyDescent="0.2">
      <c r="A2" s="211" t="s">
        <v>382</v>
      </c>
      <c r="B2" s="212" t="s">
        <v>15</v>
      </c>
      <c r="C2" s="212" t="s">
        <v>15</v>
      </c>
      <c r="D2" s="212" t="s">
        <v>15</v>
      </c>
      <c r="E2" s="212" t="s">
        <v>102</v>
      </c>
    </row>
    <row r="3" spans="1:5" x14ac:dyDescent="0.2">
      <c r="A3" s="209" t="s">
        <v>51</v>
      </c>
      <c r="B3" s="213">
        <v>5</v>
      </c>
      <c r="C3" s="213">
        <v>1</v>
      </c>
      <c r="D3" s="213">
        <v>0.15</v>
      </c>
      <c r="E3" s="214">
        <v>900</v>
      </c>
    </row>
    <row r="4" spans="1:5" x14ac:dyDescent="0.2">
      <c r="A4" s="209" t="s">
        <v>52</v>
      </c>
      <c r="B4" s="213">
        <v>5</v>
      </c>
      <c r="C4" s="213">
        <v>1</v>
      </c>
      <c r="D4" s="213">
        <v>0.2</v>
      </c>
      <c r="E4" s="214">
        <v>1200</v>
      </c>
    </row>
    <row r="5" spans="1:5" x14ac:dyDescent="0.2">
      <c r="A5" s="209" t="s">
        <v>53</v>
      </c>
      <c r="B5" s="213">
        <v>5</v>
      </c>
      <c r="C5" s="213">
        <v>1</v>
      </c>
      <c r="D5" s="213">
        <v>0.25</v>
      </c>
      <c r="E5" s="214">
        <v>1500</v>
      </c>
    </row>
    <row r="6" spans="1:5" x14ac:dyDescent="0.2">
      <c r="A6" s="209" t="s">
        <v>54</v>
      </c>
      <c r="B6" s="213">
        <v>5</v>
      </c>
      <c r="C6" s="213">
        <v>1</v>
      </c>
      <c r="D6" s="213">
        <v>0.3</v>
      </c>
      <c r="E6" s="214">
        <v>1800</v>
      </c>
    </row>
    <row r="7" spans="1:5" x14ac:dyDescent="0.2">
      <c r="A7" s="209" t="s">
        <v>55</v>
      </c>
      <c r="B7" s="213">
        <v>6</v>
      </c>
      <c r="C7" s="213">
        <v>1</v>
      </c>
      <c r="D7" s="213">
        <v>0.15</v>
      </c>
      <c r="E7" s="214">
        <v>1080</v>
      </c>
    </row>
    <row r="8" spans="1:5" x14ac:dyDescent="0.2">
      <c r="A8" s="209" t="s">
        <v>56</v>
      </c>
      <c r="B8" s="213">
        <v>6</v>
      </c>
      <c r="C8" s="213">
        <v>1</v>
      </c>
      <c r="D8" s="213">
        <v>0.2</v>
      </c>
      <c r="E8" s="214">
        <v>1440</v>
      </c>
    </row>
    <row r="9" spans="1:5" x14ac:dyDescent="0.2">
      <c r="A9" s="209" t="s">
        <v>57</v>
      </c>
      <c r="B9" s="213">
        <v>7</v>
      </c>
      <c r="C9" s="213">
        <v>1</v>
      </c>
      <c r="D9" s="213">
        <v>0.2</v>
      </c>
      <c r="E9" s="214">
        <v>1680</v>
      </c>
    </row>
    <row r="10" spans="1:5" x14ac:dyDescent="0.2">
      <c r="A10" s="209" t="s">
        <v>58</v>
      </c>
      <c r="B10" s="213">
        <v>8</v>
      </c>
      <c r="C10" s="213">
        <v>1</v>
      </c>
      <c r="D10" s="213">
        <v>0.2</v>
      </c>
      <c r="E10" s="214">
        <v>1920</v>
      </c>
    </row>
    <row r="11" spans="1:5" x14ac:dyDescent="0.2">
      <c r="A11" s="209" t="s">
        <v>59</v>
      </c>
      <c r="B11" s="213">
        <v>8</v>
      </c>
      <c r="C11" s="213">
        <v>1</v>
      </c>
      <c r="D11" s="213">
        <v>0.25</v>
      </c>
      <c r="E11" s="214">
        <v>3000</v>
      </c>
    </row>
    <row r="12" spans="1:5" x14ac:dyDescent="0.2">
      <c r="A12" s="209" t="s">
        <v>60</v>
      </c>
      <c r="B12" s="213">
        <v>8</v>
      </c>
      <c r="C12" s="213">
        <v>1</v>
      </c>
      <c r="D12" s="213">
        <v>0.25</v>
      </c>
      <c r="E12" s="214">
        <v>2400</v>
      </c>
    </row>
    <row r="13" spans="1:5" x14ac:dyDescent="0.2">
      <c r="A13" s="209" t="s">
        <v>61</v>
      </c>
      <c r="B13" s="213">
        <v>8</v>
      </c>
      <c r="C13" s="213">
        <v>1</v>
      </c>
      <c r="D13" s="213">
        <v>0.3</v>
      </c>
      <c r="E13" s="214">
        <v>3600</v>
      </c>
    </row>
    <row r="14" spans="1:5" x14ac:dyDescent="0.2">
      <c r="A14" s="209" t="s">
        <v>62</v>
      </c>
      <c r="B14" s="213">
        <v>9</v>
      </c>
      <c r="C14" s="213">
        <v>1</v>
      </c>
      <c r="D14" s="213">
        <v>0.25</v>
      </c>
      <c r="E14" s="214">
        <v>2470</v>
      </c>
    </row>
    <row r="15" spans="1:5" x14ac:dyDescent="0.2">
      <c r="A15" s="209" t="s">
        <v>63</v>
      </c>
      <c r="B15" s="213">
        <v>10</v>
      </c>
      <c r="C15" s="213">
        <v>1</v>
      </c>
      <c r="D15" s="213">
        <v>0.25</v>
      </c>
      <c r="E15" s="214">
        <v>3000</v>
      </c>
    </row>
    <row r="16" spans="1:5" x14ac:dyDescent="0.2">
      <c r="A16" s="209" t="s">
        <v>64</v>
      </c>
      <c r="B16" s="213">
        <v>10</v>
      </c>
      <c r="C16" s="213">
        <v>1</v>
      </c>
      <c r="D16" s="213">
        <v>0.3</v>
      </c>
      <c r="E16" s="214">
        <v>5000</v>
      </c>
    </row>
    <row r="17" spans="1:5" x14ac:dyDescent="0.2">
      <c r="A17" s="209" t="s">
        <v>65</v>
      </c>
      <c r="B17" s="213">
        <v>10</v>
      </c>
      <c r="C17" s="213">
        <v>1</v>
      </c>
      <c r="D17" s="213">
        <v>0.3</v>
      </c>
      <c r="E17" s="214">
        <v>4800</v>
      </c>
    </row>
    <row r="18" spans="1:5" x14ac:dyDescent="0.2">
      <c r="A18" s="209" t="s">
        <v>66</v>
      </c>
      <c r="B18" s="213">
        <v>11</v>
      </c>
      <c r="C18" s="213">
        <v>1</v>
      </c>
      <c r="D18" s="213">
        <v>0.3</v>
      </c>
      <c r="E18" s="214">
        <v>4700</v>
      </c>
    </row>
    <row r="19" spans="1:5" x14ac:dyDescent="0.2">
      <c r="A19" s="209" t="s">
        <v>67</v>
      </c>
      <c r="B19" s="213">
        <v>11</v>
      </c>
      <c r="C19" s="213">
        <v>1.25</v>
      </c>
      <c r="D19" s="213">
        <v>0.3</v>
      </c>
      <c r="E19" s="214">
        <v>5830</v>
      </c>
    </row>
    <row r="20" spans="1:5" x14ac:dyDescent="0.2">
      <c r="A20" s="209" t="s">
        <v>68</v>
      </c>
      <c r="B20" s="213">
        <v>12</v>
      </c>
      <c r="C20" s="213">
        <v>1.25</v>
      </c>
      <c r="D20" s="213">
        <v>0.3</v>
      </c>
      <c r="E20" s="214">
        <v>5600</v>
      </c>
    </row>
    <row r="21" spans="1:5" x14ac:dyDescent="0.2">
      <c r="A21" s="209" t="s">
        <v>69</v>
      </c>
      <c r="B21" s="213">
        <v>12</v>
      </c>
      <c r="C21" s="213">
        <v>1.25</v>
      </c>
      <c r="D21" s="213">
        <v>0.3</v>
      </c>
      <c r="E21" s="214">
        <v>6100</v>
      </c>
    </row>
    <row r="22" spans="1:5" x14ac:dyDescent="0.2">
      <c r="A22" s="209" t="s">
        <v>70</v>
      </c>
      <c r="B22" s="213">
        <v>8</v>
      </c>
      <c r="C22" s="213">
        <v>2.37</v>
      </c>
      <c r="D22" s="213">
        <v>0.18</v>
      </c>
      <c r="E22" s="214">
        <v>4000</v>
      </c>
    </row>
    <row r="23" spans="1:5" x14ac:dyDescent="0.2">
      <c r="A23" s="209" t="s">
        <v>71</v>
      </c>
      <c r="B23" s="213">
        <v>10</v>
      </c>
      <c r="C23" s="213">
        <v>2.37</v>
      </c>
      <c r="D23" s="213">
        <v>0.18</v>
      </c>
      <c r="E23" s="214">
        <v>5500</v>
      </c>
    </row>
    <row r="24" spans="1:5" x14ac:dyDescent="0.2">
      <c r="A24" s="209" t="s">
        <v>72</v>
      </c>
      <c r="B24" s="213">
        <v>10</v>
      </c>
      <c r="C24" s="213">
        <v>1.24</v>
      </c>
      <c r="D24" s="213">
        <v>0.3</v>
      </c>
      <c r="E24" s="214">
        <v>5300</v>
      </c>
    </row>
    <row r="25" spans="1:5" x14ac:dyDescent="0.2">
      <c r="A25" s="209" t="s">
        <v>73</v>
      </c>
      <c r="B25" s="213">
        <v>12</v>
      </c>
      <c r="C25" s="213">
        <v>1.24</v>
      </c>
      <c r="D25" s="213">
        <v>0.3</v>
      </c>
      <c r="E25" s="214">
        <v>5700</v>
      </c>
    </row>
    <row r="26" spans="1:5" x14ac:dyDescent="0.2">
      <c r="A26" s="209" t="s">
        <v>74</v>
      </c>
      <c r="B26" s="213">
        <v>14</v>
      </c>
      <c r="C26" s="213">
        <v>1</v>
      </c>
      <c r="D26" s="213">
        <v>0.3</v>
      </c>
      <c r="E26" s="214">
        <v>6600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E1596-C083-4444-AABC-F3F13D9B7640}">
  <sheetPr>
    <tabColor rgb="FF0061AD"/>
  </sheetPr>
  <dimension ref="A1:AR103"/>
  <sheetViews>
    <sheetView zoomScale="70" zoomScaleNormal="70" workbookViewId="0">
      <selection activeCell="P28" sqref="P28"/>
    </sheetView>
  </sheetViews>
  <sheetFormatPr defaultRowHeight="15" x14ac:dyDescent="0.25"/>
  <cols>
    <col min="1" max="1" width="32.42578125" customWidth="1"/>
    <col min="4" max="4" width="14.28515625" customWidth="1"/>
    <col min="7" max="7" width="9.42578125" bestFit="1" customWidth="1"/>
    <col min="8" max="8" width="42.85546875" customWidth="1"/>
    <col min="11" max="11" width="17.7109375" customWidth="1"/>
  </cols>
  <sheetData>
    <row r="1" spans="1:44" ht="15.75" thickBot="1" x14ac:dyDescent="0.3">
      <c r="A1" s="15" t="s">
        <v>445</v>
      </c>
      <c r="B1" s="16"/>
      <c r="C1" s="16"/>
      <c r="D1" s="217" t="s">
        <v>11</v>
      </c>
      <c r="E1" s="17"/>
      <c r="F1" s="1"/>
      <c r="H1" s="15" t="s">
        <v>449</v>
      </c>
      <c r="I1" s="16"/>
      <c r="J1" s="16"/>
      <c r="K1" s="221" t="s">
        <v>125</v>
      </c>
      <c r="L1" s="17"/>
      <c r="P1" s="225" t="s">
        <v>503</v>
      </c>
      <c r="Q1" s="226"/>
      <c r="R1" s="226"/>
      <c r="S1" s="226"/>
      <c r="T1" s="226"/>
      <c r="U1" s="226"/>
      <c r="V1" s="226"/>
      <c r="AL1" t="s">
        <v>29</v>
      </c>
      <c r="AM1">
        <v>1</v>
      </c>
      <c r="AN1" t="s">
        <v>32</v>
      </c>
      <c r="AP1" t="s">
        <v>4</v>
      </c>
      <c r="AR1" t="s">
        <v>124</v>
      </c>
    </row>
    <row r="2" spans="1:44" x14ac:dyDescent="0.25">
      <c r="A2" s="5" t="s">
        <v>7</v>
      </c>
      <c r="B2" s="6"/>
      <c r="C2" s="6"/>
      <c r="D2" s="9">
        <f>HLOOKUP(D1,'Hulpblad kranen'!D1:AA57,3,0)</f>
        <v>4.79</v>
      </c>
      <c r="E2" s="8" t="s">
        <v>15</v>
      </c>
      <c r="H2" s="19" t="s">
        <v>135</v>
      </c>
      <c r="I2" s="20"/>
      <c r="J2" s="20"/>
      <c r="K2" s="216" t="s">
        <v>6</v>
      </c>
      <c r="L2" s="21"/>
      <c r="P2" s="116"/>
      <c r="Q2" s="117"/>
      <c r="R2" s="122" t="s">
        <v>20</v>
      </c>
      <c r="S2" s="123" t="s">
        <v>21</v>
      </c>
      <c r="T2" s="123" t="s">
        <v>21</v>
      </c>
      <c r="U2" s="123" t="s">
        <v>22</v>
      </c>
      <c r="V2" s="124"/>
      <c r="AL2" t="s">
        <v>30</v>
      </c>
      <c r="AM2">
        <v>2</v>
      </c>
      <c r="AN2" t="s">
        <v>33</v>
      </c>
      <c r="AP2" t="s">
        <v>6</v>
      </c>
      <c r="AR2" t="s">
        <v>125</v>
      </c>
    </row>
    <row r="3" spans="1:44" ht="17.25" x14ac:dyDescent="0.25">
      <c r="A3" s="5" t="s">
        <v>8</v>
      </c>
      <c r="B3" s="6"/>
      <c r="C3" s="6"/>
      <c r="D3" s="9">
        <f>HLOOKUP(D1,'Hulpblad kranen'!D1:AA57,4,0)</f>
        <v>6.17</v>
      </c>
      <c r="E3" s="8" t="s">
        <v>15</v>
      </c>
      <c r="H3" s="5" t="s">
        <v>1</v>
      </c>
      <c r="I3" s="6"/>
      <c r="J3" s="6"/>
      <c r="K3" s="222">
        <v>15</v>
      </c>
      <c r="L3" s="8" t="s">
        <v>15</v>
      </c>
      <c r="P3" s="118"/>
      <c r="Q3" s="119"/>
      <c r="R3" s="125" t="s">
        <v>12</v>
      </c>
      <c r="S3" s="126" t="s">
        <v>23</v>
      </c>
      <c r="T3" s="126" t="s">
        <v>24</v>
      </c>
      <c r="U3" s="127" t="s">
        <v>27</v>
      </c>
      <c r="V3" s="128" t="s">
        <v>26</v>
      </c>
      <c r="AM3">
        <v>3</v>
      </c>
      <c r="AN3" t="s">
        <v>34</v>
      </c>
      <c r="AR3" t="s">
        <v>126</v>
      </c>
    </row>
    <row r="4" spans="1:44" ht="15.75" thickBot="1" x14ac:dyDescent="0.3">
      <c r="A4" s="11" t="s">
        <v>105</v>
      </c>
      <c r="B4" s="12"/>
      <c r="C4" s="12"/>
      <c r="D4" s="23">
        <f>HLOOKUP(D1,'Hulpblad kranen'!D1:AA57,5,0)</f>
        <v>0.81</v>
      </c>
      <c r="E4" s="14" t="s">
        <v>15</v>
      </c>
      <c r="H4" s="5" t="s">
        <v>49</v>
      </c>
      <c r="I4" s="6"/>
      <c r="J4" s="6"/>
      <c r="K4" s="216">
        <v>1.4</v>
      </c>
      <c r="L4" s="8" t="s">
        <v>15</v>
      </c>
      <c r="P4" s="116" t="s">
        <v>13</v>
      </c>
      <c r="Q4" s="117"/>
      <c r="R4" s="172">
        <f>HLOOKUP(D1,'Hulpblad kranen'!D1:AA69,8,0)</f>
        <v>233</v>
      </c>
      <c r="S4" s="167">
        <f>HLOOKUP(D1,'Hulpblad kranen'!D1:AA69,9,0)</f>
        <v>0</v>
      </c>
      <c r="T4" s="167">
        <f>HLOOKUP(D1,'Hulpblad kranen'!D1:AA69,10,0)</f>
        <v>0.54800000000000004</v>
      </c>
      <c r="U4" s="167">
        <f>HLOOKUP(D1,'Hulpblad kranen'!D1:AA69,11,0)</f>
        <v>4.75</v>
      </c>
      <c r="V4" s="169">
        <f>HLOOKUP(D1,'Hulpblad kranen'!D1:AA69,12,0)</f>
        <v>5.72</v>
      </c>
      <c r="AR4" t="s">
        <v>133</v>
      </c>
    </row>
    <row r="5" spans="1:44" ht="15.75" thickBot="1" x14ac:dyDescent="0.3">
      <c r="H5" s="5" t="s">
        <v>402</v>
      </c>
      <c r="I5" s="6"/>
      <c r="J5" s="6"/>
      <c r="K5" s="216">
        <v>0.5</v>
      </c>
      <c r="L5" s="8" t="s">
        <v>15</v>
      </c>
      <c r="P5" s="120" t="s">
        <v>18</v>
      </c>
      <c r="Q5" s="121"/>
      <c r="R5" s="173">
        <f>HLOOKUP(D1,'Hulpblad kranen'!D1:AA69,15,0)</f>
        <v>467</v>
      </c>
      <c r="S5" s="10">
        <f>HLOOKUP(D1,'Hulpblad kranen'!D1:AA69,16,0)</f>
        <v>-1.35</v>
      </c>
      <c r="T5" s="10">
        <f>HLOOKUP(D1,'Hulpblad kranen'!D1:AA69,17,0)</f>
        <v>1.9</v>
      </c>
      <c r="U5" s="10">
        <f>HLOOKUP(D1,'Hulpblad kranen'!D1:AA69,18,0)</f>
        <v>6.4</v>
      </c>
      <c r="V5" s="170">
        <f>HLOOKUP(D1,'Hulpblad kranen'!D1:AA69,19,0)</f>
        <v>7.5</v>
      </c>
    </row>
    <row r="6" spans="1:44" ht="15.75" thickBot="1" x14ac:dyDescent="0.3">
      <c r="A6" s="15" t="s">
        <v>446</v>
      </c>
      <c r="B6" s="16"/>
      <c r="C6" s="16"/>
      <c r="D6" s="217" t="s">
        <v>29</v>
      </c>
      <c r="E6" s="17"/>
      <c r="H6" s="5" t="s">
        <v>2</v>
      </c>
      <c r="I6" s="6"/>
      <c r="J6" s="6"/>
      <c r="K6" s="216">
        <v>60.1</v>
      </c>
      <c r="L6" s="8" t="s">
        <v>12</v>
      </c>
      <c r="P6" s="120" t="s">
        <v>4</v>
      </c>
      <c r="Q6" s="121"/>
      <c r="R6" s="173">
        <f>D9</f>
        <v>43.2</v>
      </c>
      <c r="S6" s="10">
        <f>D15</f>
        <v>7.7618921878511911</v>
      </c>
      <c r="T6" s="10">
        <f>D16</f>
        <v>16.248924592586398</v>
      </c>
      <c r="U6" s="10">
        <f>D18</f>
        <v>5</v>
      </c>
      <c r="V6" s="170">
        <f>D19</f>
        <v>5</v>
      </c>
    </row>
    <row r="7" spans="1:44" x14ac:dyDescent="0.25">
      <c r="A7" s="5" t="s">
        <v>1</v>
      </c>
      <c r="B7" s="6"/>
      <c r="C7" s="6"/>
      <c r="D7" s="7">
        <f>HLOOKUP(D1,'Hulpblad kranen'!D1:AA69,23,0)</f>
        <v>32</v>
      </c>
      <c r="E7" s="8" t="s">
        <v>15</v>
      </c>
      <c r="H7" s="5"/>
      <c r="I7" s="6"/>
      <c r="J7" s="6"/>
      <c r="K7" s="7">
        <f>K6/10</f>
        <v>6.01</v>
      </c>
      <c r="L7" s="8" t="s">
        <v>413</v>
      </c>
      <c r="P7" s="120" t="s">
        <v>25</v>
      </c>
      <c r="Q7" s="121"/>
      <c r="R7" s="173">
        <f>D24</f>
        <v>0</v>
      </c>
      <c r="S7" s="10">
        <f>D27</f>
        <v>0</v>
      </c>
      <c r="T7" s="10">
        <f>D28</f>
        <v>0</v>
      </c>
      <c r="U7" s="10">
        <f>D33</f>
        <v>0</v>
      </c>
      <c r="V7" s="170">
        <f>D34</f>
        <v>0</v>
      </c>
    </row>
    <row r="8" spans="1:44" x14ac:dyDescent="0.25">
      <c r="A8" s="5" t="s">
        <v>136</v>
      </c>
      <c r="B8" s="6"/>
      <c r="C8" s="6"/>
      <c r="D8" s="216">
        <v>65</v>
      </c>
      <c r="E8" s="8" t="s">
        <v>28</v>
      </c>
      <c r="H8" s="5"/>
      <c r="I8" s="6"/>
      <c r="J8" s="6"/>
      <c r="K8" s="9"/>
      <c r="L8" s="8"/>
      <c r="P8" s="120" t="s">
        <v>6</v>
      </c>
      <c r="Q8" s="121"/>
      <c r="R8" s="173">
        <f>D44</f>
        <v>0</v>
      </c>
      <c r="S8" s="10">
        <f>D47</f>
        <v>0</v>
      </c>
      <c r="T8" s="10">
        <f>D48</f>
        <v>0</v>
      </c>
      <c r="U8" s="10">
        <f>D50</f>
        <v>0</v>
      </c>
      <c r="V8" s="170">
        <f>D51</f>
        <v>0</v>
      </c>
    </row>
    <row r="9" spans="1:44" x14ac:dyDescent="0.25">
      <c r="A9" s="5" t="s">
        <v>2</v>
      </c>
      <c r="B9" s="6"/>
      <c r="C9" s="6"/>
      <c r="D9" s="131">
        <f>HLOOKUP(D1,'Hulpblad kranen'!D1:AA69,22,0)</f>
        <v>43.2</v>
      </c>
      <c r="E9" s="8" t="s">
        <v>12</v>
      </c>
      <c r="H9" s="5" t="s">
        <v>47</v>
      </c>
      <c r="I9" s="6"/>
      <c r="J9" s="6"/>
      <c r="K9" s="10">
        <f>IF(K2="Giek",X69,IF(AND(K2="Makelaar",F37=1),AC76,IF(AND(K2="Makelaar",F37=2),AC89,IF(AND(K2="Makelaar",F37=3),AC102))))</f>
        <v>1.5</v>
      </c>
      <c r="L9" s="8" t="s">
        <v>15</v>
      </c>
      <c r="P9" s="120" t="s">
        <v>37</v>
      </c>
      <c r="Q9" s="121"/>
      <c r="R9" s="173">
        <f>IF(K24="Ja",K25,0)</f>
        <v>0</v>
      </c>
      <c r="S9" s="10">
        <f>K27</f>
        <v>0</v>
      </c>
      <c r="T9" s="10">
        <f>K28</f>
        <v>0</v>
      </c>
      <c r="U9" s="10">
        <f>K30</f>
        <v>0</v>
      </c>
      <c r="V9" s="170">
        <f>K31</f>
        <v>0</v>
      </c>
    </row>
    <row r="10" spans="1:44" x14ac:dyDescent="0.25">
      <c r="A10" s="5"/>
      <c r="B10" s="6"/>
      <c r="C10" s="6"/>
      <c r="D10" s="30"/>
      <c r="E10" s="8"/>
      <c r="H10" s="5" t="s">
        <v>48</v>
      </c>
      <c r="I10" s="6"/>
      <c r="J10" s="6"/>
      <c r="K10" s="10">
        <f>IF(K2="Giek",X75,IF(AND(K2="Makelaar",F37=1),AC77,IF(AND(K2="Makelaar",F37=2),AC90,IF(AND(K2="Makelaar",F37=3),AC103))))</f>
        <v>-20.283000000000001</v>
      </c>
      <c r="L10" s="8" t="s">
        <v>15</v>
      </c>
      <c r="M10">
        <f>K10+K3/2</f>
        <v>-12.783000000000001</v>
      </c>
      <c r="P10" s="120" t="s">
        <v>36</v>
      </c>
      <c r="Q10" s="121"/>
      <c r="R10" s="173">
        <f>IF(K33="Ja",K34,0)</f>
        <v>0</v>
      </c>
      <c r="S10" s="10">
        <f>K36</f>
        <v>0</v>
      </c>
      <c r="T10" s="10">
        <f>K37</f>
        <v>0</v>
      </c>
      <c r="U10" s="10">
        <f>K39</f>
        <v>0</v>
      </c>
      <c r="V10" s="170">
        <f>K40</f>
        <v>0</v>
      </c>
    </row>
    <row r="11" spans="1:44" x14ac:dyDescent="0.25">
      <c r="A11" s="5"/>
      <c r="B11" s="6"/>
      <c r="C11" s="6"/>
      <c r="D11" s="9"/>
      <c r="E11" s="8"/>
      <c r="H11" s="5"/>
      <c r="I11" s="6"/>
      <c r="J11" s="6"/>
      <c r="K11" s="9"/>
      <c r="L11" s="8"/>
      <c r="P11" s="120" t="s">
        <v>46</v>
      </c>
      <c r="Q11" s="121"/>
      <c r="R11" s="173">
        <f>IF(K42="Ja",K47,0)</f>
        <v>54.8</v>
      </c>
      <c r="S11" s="10">
        <f>K49</f>
        <v>14.523784375702382</v>
      </c>
      <c r="T11" s="10">
        <f>K50</f>
        <v>19.358349185172798</v>
      </c>
      <c r="U11" s="10">
        <f>K52</f>
        <v>4.2579900000000004</v>
      </c>
      <c r="V11" s="170">
        <f>K53</f>
        <v>1.3135759999999999</v>
      </c>
    </row>
    <row r="12" spans="1:44" ht="17.25" x14ac:dyDescent="0.25">
      <c r="A12" s="5" t="s">
        <v>441</v>
      </c>
      <c r="B12" s="6"/>
      <c r="C12" s="6"/>
      <c r="D12" s="28">
        <f>HLOOKUP(D1,'Hulpblad kranen'!D1:AA69,24,0)</f>
        <v>1</v>
      </c>
      <c r="E12" s="8" t="s">
        <v>15</v>
      </c>
      <c r="H12" s="5" t="s">
        <v>16</v>
      </c>
      <c r="I12" s="6"/>
      <c r="J12" s="6"/>
      <c r="K12" s="10">
        <f>K3*K4</f>
        <v>21</v>
      </c>
      <c r="L12" s="8" t="s">
        <v>19</v>
      </c>
      <c r="P12" s="120" t="s">
        <v>127</v>
      </c>
      <c r="Q12" s="121"/>
      <c r="R12" s="173">
        <f>K6</f>
        <v>60.1</v>
      </c>
      <c r="S12" s="10">
        <f>K9</f>
        <v>1.5</v>
      </c>
      <c r="T12" s="10">
        <f>K10</f>
        <v>-20.283000000000001</v>
      </c>
      <c r="U12" s="10">
        <f>K12</f>
        <v>21</v>
      </c>
      <c r="V12" s="170">
        <f>K13</f>
        <v>7.5</v>
      </c>
    </row>
    <row r="13" spans="1:44" ht="18" thickBot="1" x14ac:dyDescent="0.3">
      <c r="A13" s="5" t="s">
        <v>442</v>
      </c>
      <c r="B13" s="6"/>
      <c r="C13" s="6"/>
      <c r="D13" s="28">
        <f>HLOOKUP(D1,'Hulpblad kranen'!D1:AA69,25,0)</f>
        <v>1.748</v>
      </c>
      <c r="E13" s="8" t="s">
        <v>15</v>
      </c>
      <c r="H13" s="11" t="s">
        <v>17</v>
      </c>
      <c r="I13" s="12"/>
      <c r="J13" s="12"/>
      <c r="K13" s="13">
        <f>K3*K5</f>
        <v>7.5</v>
      </c>
      <c r="L13" s="14" t="s">
        <v>19</v>
      </c>
      <c r="P13" s="118" t="s">
        <v>134</v>
      </c>
      <c r="Q13" s="119"/>
      <c r="R13" s="174">
        <f>IF(K7&lt;=10,0.1*K7*9.81,(5+0.05*K7*9.81))</f>
        <v>5.89581</v>
      </c>
      <c r="S13" s="168">
        <v>0</v>
      </c>
      <c r="T13" s="168">
        <f>IF(D36="Ja",D48*2,(D16-D13)*2+D13)</f>
        <v>30.749849185172799</v>
      </c>
      <c r="U13" s="168">
        <v>0</v>
      </c>
      <c r="V13" s="171">
        <v>0</v>
      </c>
    </row>
    <row r="14" spans="1:44" ht="15.75" thickBot="1" x14ac:dyDescent="0.3">
      <c r="A14" s="5"/>
      <c r="B14" s="6"/>
      <c r="C14" s="6"/>
      <c r="D14" s="9"/>
      <c r="E14" s="8"/>
    </row>
    <row r="15" spans="1:44" ht="15.75" thickBot="1" x14ac:dyDescent="0.3">
      <c r="A15" s="5" t="s">
        <v>81</v>
      </c>
      <c r="B15" s="6"/>
      <c r="C15" s="6"/>
      <c r="D15" s="10">
        <f>IF(D6="Ja",((COS(D8*PI()/180))*D7)/2+D12,0)</f>
        <v>7.7618921878511911</v>
      </c>
      <c r="E15" s="8" t="s">
        <v>15</v>
      </c>
      <c r="H15" s="15" t="s">
        <v>450</v>
      </c>
      <c r="I15" s="16"/>
      <c r="J15" s="16"/>
      <c r="K15" s="223" t="s">
        <v>29</v>
      </c>
      <c r="L15" s="17"/>
      <c r="R15" s="26"/>
    </row>
    <row r="16" spans="1:44" x14ac:dyDescent="0.25">
      <c r="A16" s="5" t="s">
        <v>443</v>
      </c>
      <c r="B16" s="6"/>
      <c r="C16" s="6"/>
      <c r="D16" s="10">
        <f>IF(D6="Ja",((SIN(D8*PI()/180))*D7)/2+D13,0)</f>
        <v>16.248924592586398</v>
      </c>
      <c r="E16" s="8" t="s">
        <v>15</v>
      </c>
      <c r="H16" s="19" t="s">
        <v>44</v>
      </c>
      <c r="I16" s="20"/>
      <c r="J16" s="20"/>
      <c r="K16" s="224" t="s">
        <v>73</v>
      </c>
      <c r="L16" s="21"/>
      <c r="R16" s="26"/>
    </row>
    <row r="17" spans="1:41" x14ac:dyDescent="0.25">
      <c r="A17" s="5"/>
      <c r="B17" s="6"/>
      <c r="C17" s="6"/>
      <c r="D17" s="9"/>
      <c r="E17" s="8"/>
      <c r="H17" s="5" t="s">
        <v>1</v>
      </c>
      <c r="I17" s="6"/>
      <c r="J17" s="6"/>
      <c r="K17" s="10">
        <f>VLOOKUP(K16,'Hulpblad schotten'!A1:E26,2,0)</f>
        <v>12</v>
      </c>
      <c r="L17" s="8" t="s">
        <v>15</v>
      </c>
    </row>
    <row r="18" spans="1:41" ht="17.25" x14ac:dyDescent="0.25">
      <c r="A18" s="5" t="s">
        <v>16</v>
      </c>
      <c r="B18" s="6"/>
      <c r="C18" s="6"/>
      <c r="D18" s="28">
        <f>IF(D6="Ja",HLOOKUP(D1,'Hulpblad kranen'!D1:AA69,26,0),0)</f>
        <v>5</v>
      </c>
      <c r="E18" s="8" t="s">
        <v>19</v>
      </c>
      <c r="H18" s="5" t="s">
        <v>49</v>
      </c>
      <c r="I18" s="6"/>
      <c r="J18" s="6"/>
      <c r="K18" s="10">
        <f>VLOOKUP(K16,'Hulpblad schotten'!A1:E26,3,0)</f>
        <v>1.24</v>
      </c>
      <c r="L18" s="8" t="s">
        <v>15</v>
      </c>
    </row>
    <row r="19" spans="1:41" ht="18" thickBot="1" x14ac:dyDescent="0.3">
      <c r="A19" s="11" t="s">
        <v>17</v>
      </c>
      <c r="B19" s="12"/>
      <c r="C19" s="12"/>
      <c r="D19" s="29">
        <f>IF(D6="Ja",HLOOKUP(D1,'Hulpblad kranen'!D1:AA69,27,0),0)</f>
        <v>5</v>
      </c>
      <c r="E19" s="14" t="s">
        <v>19</v>
      </c>
      <c r="H19" s="5" t="s">
        <v>14</v>
      </c>
      <c r="I19" s="6"/>
      <c r="J19" s="6"/>
      <c r="K19" s="10">
        <f>VLOOKUP(K16,'Hulpblad schotten'!A1:E26,4,0)</f>
        <v>0.3</v>
      </c>
      <c r="L19" s="8" t="s">
        <v>15</v>
      </c>
      <c r="P19" s="27"/>
      <c r="Q19" s="27"/>
      <c r="R19" s="27"/>
      <c r="S19" s="27"/>
      <c r="T19" s="27"/>
      <c r="U19" s="27"/>
      <c r="V19" s="27"/>
    </row>
    <row r="20" spans="1:41" ht="15.75" thickBot="1" x14ac:dyDescent="0.3">
      <c r="A20" s="1"/>
      <c r="B20" s="1"/>
      <c r="C20" s="1"/>
      <c r="H20" s="5" t="s">
        <v>2</v>
      </c>
      <c r="I20" s="6"/>
      <c r="J20" s="6"/>
      <c r="K20" s="33">
        <f>VLOOKUP(K16,'Hulpblad schotten'!A3:E27,5,0)</f>
        <v>5700</v>
      </c>
      <c r="L20" s="8" t="s">
        <v>102</v>
      </c>
      <c r="P20" s="183"/>
      <c r="Q20" s="27"/>
      <c r="R20" s="27"/>
      <c r="S20" s="27"/>
      <c r="T20" s="27"/>
      <c r="U20" s="27"/>
      <c r="V20" s="27"/>
    </row>
    <row r="21" spans="1:41" ht="15.75" thickBot="1" x14ac:dyDescent="0.3">
      <c r="A21" s="15" t="s">
        <v>447</v>
      </c>
      <c r="B21" s="16"/>
      <c r="C21" s="16"/>
      <c r="D21" s="217" t="s">
        <v>30</v>
      </c>
      <c r="E21" s="17"/>
      <c r="H21" s="5"/>
      <c r="I21" s="6"/>
      <c r="J21" s="6"/>
      <c r="K21" s="7">
        <f>IF(K15="Ja",K20/100,0)</f>
        <v>57</v>
      </c>
      <c r="L21" s="8" t="s">
        <v>12</v>
      </c>
      <c r="P21" s="27"/>
      <c r="Q21" s="27"/>
      <c r="R21" s="27"/>
      <c r="S21" s="27"/>
      <c r="T21" s="27"/>
      <c r="U21" s="27"/>
      <c r="V21" s="27"/>
    </row>
    <row r="22" spans="1:41" ht="18" thickBot="1" x14ac:dyDescent="0.3">
      <c r="A22" s="5" t="s">
        <v>1</v>
      </c>
      <c r="B22" s="6"/>
      <c r="C22" s="6"/>
      <c r="D22" s="7">
        <f>HLOOKUP(D1,'Hulpblad kranen'!D1:AA69,31,0)</f>
        <v>0</v>
      </c>
      <c r="E22" s="8" t="s">
        <v>15</v>
      </c>
      <c r="H22" s="11" t="s">
        <v>103</v>
      </c>
      <c r="I22" s="12"/>
      <c r="J22" s="12"/>
      <c r="K22" s="13">
        <f>K21/(K17*K18)</f>
        <v>3.830645161290323</v>
      </c>
      <c r="L22" s="14" t="s">
        <v>104</v>
      </c>
      <c r="P22" s="27"/>
      <c r="Q22" s="27"/>
      <c r="R22" s="27"/>
      <c r="S22" s="27"/>
      <c r="T22" s="27"/>
      <c r="U22" s="27"/>
      <c r="V22" s="27"/>
    </row>
    <row r="23" spans="1:41" ht="15.75" thickBot="1" x14ac:dyDescent="0.3">
      <c r="A23" s="5" t="s">
        <v>5</v>
      </c>
      <c r="B23" s="6"/>
      <c r="C23" s="6"/>
      <c r="D23" s="216">
        <v>45</v>
      </c>
      <c r="E23" s="8" t="s">
        <v>28</v>
      </c>
      <c r="F23" s="3"/>
      <c r="H23" s="27"/>
      <c r="I23" s="27"/>
      <c r="J23" s="27"/>
      <c r="K23" s="27"/>
      <c r="L23" s="27"/>
      <c r="P23" s="27"/>
      <c r="Q23" s="27"/>
      <c r="R23" s="27"/>
      <c r="S23" s="27"/>
      <c r="T23" s="27"/>
      <c r="U23" s="27"/>
      <c r="V23" s="27"/>
    </row>
    <row r="24" spans="1:41" ht="15.75" thickBot="1" x14ac:dyDescent="0.3">
      <c r="A24" s="5" t="s">
        <v>2</v>
      </c>
      <c r="B24" s="6"/>
      <c r="C24" s="6"/>
      <c r="D24" s="131">
        <f>HLOOKUP(D1,'Hulpblad kranen'!D1:AA69,30,0)</f>
        <v>0</v>
      </c>
      <c r="E24" s="8" t="s">
        <v>12</v>
      </c>
      <c r="H24" s="15" t="s">
        <v>451</v>
      </c>
      <c r="I24" s="16"/>
      <c r="J24" s="16"/>
      <c r="K24" s="223" t="s">
        <v>30</v>
      </c>
      <c r="L24" s="17"/>
      <c r="P24" s="27"/>
      <c r="Q24" s="27"/>
      <c r="R24" s="27"/>
      <c r="S24" s="27"/>
      <c r="T24" s="27"/>
      <c r="U24" s="27"/>
      <c r="V24" s="27"/>
    </row>
    <row r="25" spans="1:41" x14ac:dyDescent="0.25">
      <c r="A25" s="5"/>
      <c r="B25" s="6"/>
      <c r="C25" s="6"/>
      <c r="D25" s="30"/>
      <c r="E25" s="8"/>
      <c r="H25" s="19" t="s">
        <v>2</v>
      </c>
      <c r="I25" s="20"/>
      <c r="J25" s="20"/>
      <c r="K25" s="22">
        <f>IF(K24="Ja",HLOOKUP(D1,'Hulpblad kranen'!D1:AA69,46,0),0)</f>
        <v>0</v>
      </c>
      <c r="L25" s="21" t="s">
        <v>12</v>
      </c>
      <c r="P25" s="27"/>
      <c r="Q25" s="27"/>
      <c r="R25" s="27"/>
      <c r="S25" s="27"/>
      <c r="T25" s="27"/>
      <c r="U25" s="27"/>
      <c r="V25" s="27"/>
    </row>
    <row r="26" spans="1:41" x14ac:dyDescent="0.25">
      <c r="A26" s="5"/>
      <c r="B26" s="6"/>
      <c r="C26" s="6"/>
      <c r="D26" s="9"/>
      <c r="E26" s="8"/>
      <c r="H26" s="5"/>
      <c r="I26" s="6"/>
      <c r="J26" s="6"/>
      <c r="K26" s="9"/>
      <c r="L26" s="8"/>
      <c r="P26" s="27"/>
      <c r="Q26" s="27"/>
      <c r="R26" s="27"/>
      <c r="S26" s="27"/>
      <c r="T26" s="27"/>
      <c r="U26" s="27"/>
      <c r="V26" s="27"/>
    </row>
    <row r="27" spans="1:41" x14ac:dyDescent="0.25">
      <c r="A27" s="5" t="s">
        <v>441</v>
      </c>
      <c r="B27" s="6"/>
      <c r="C27" s="6"/>
      <c r="D27" s="10">
        <f>HLOOKUP(D1,'Hulpblad kranen'!D1:AA69,32,0)</f>
        <v>0</v>
      </c>
      <c r="E27" s="8" t="s">
        <v>15</v>
      </c>
      <c r="H27" s="5" t="s">
        <v>47</v>
      </c>
      <c r="I27" s="6"/>
      <c r="J27" s="6"/>
      <c r="K27" s="10">
        <f>IF(K24="Ja",HLOOKUP(D1,'Hulpblad kranen'!D1:AA69,47,0),0)</f>
        <v>0</v>
      </c>
      <c r="L27" s="8" t="s">
        <v>15</v>
      </c>
      <c r="P27" s="27"/>
      <c r="Q27" s="27"/>
      <c r="R27" s="27"/>
      <c r="S27" s="27"/>
      <c r="T27" s="27"/>
      <c r="U27" s="27"/>
      <c r="V27" s="27"/>
    </row>
    <row r="28" spans="1:41" x14ac:dyDescent="0.25">
      <c r="A28" s="5" t="s">
        <v>442</v>
      </c>
      <c r="B28" s="6"/>
      <c r="C28" s="6"/>
      <c r="D28" s="10">
        <f>HLOOKUP(D1,'Hulpblad kranen'!D1:AA69,33,0)</f>
        <v>0</v>
      </c>
      <c r="E28" s="8" t="s">
        <v>15</v>
      </c>
      <c r="H28" s="5" t="s">
        <v>48</v>
      </c>
      <c r="I28" s="6"/>
      <c r="J28" s="6"/>
      <c r="K28" s="10">
        <f>IF(K24="Ja",HLOOKUP(D1,'Hulpblad kranen'!D1:AA69,48,0),0)</f>
        <v>0</v>
      </c>
      <c r="L28" s="8" t="s">
        <v>15</v>
      </c>
      <c r="P28" s="27"/>
      <c r="Q28" s="27"/>
      <c r="R28" s="27"/>
      <c r="S28" s="27"/>
      <c r="T28" s="27"/>
      <c r="U28" s="27"/>
      <c r="V28" s="27"/>
    </row>
    <row r="29" spans="1:41" x14ac:dyDescent="0.25">
      <c r="A29" s="5"/>
      <c r="B29" s="6"/>
      <c r="C29" s="6"/>
      <c r="D29" s="9"/>
      <c r="E29" s="8"/>
      <c r="H29" s="5"/>
      <c r="I29" s="6"/>
      <c r="J29" s="6"/>
      <c r="K29" s="9"/>
      <c r="L29" s="8"/>
      <c r="AN29" t="s">
        <v>416</v>
      </c>
      <c r="AO29">
        <v>7.08</v>
      </c>
    </row>
    <row r="30" spans="1:41" ht="17.25" x14ac:dyDescent="0.25">
      <c r="A30" s="5" t="s">
        <v>82</v>
      </c>
      <c r="B30" s="6"/>
      <c r="C30" s="6"/>
      <c r="D30" s="10">
        <f>IF(D21="Ja",((COS(D23*PI()/180))*D22)/2+D27,0)</f>
        <v>0</v>
      </c>
      <c r="E30" s="8" t="s">
        <v>15</v>
      </c>
      <c r="H30" s="5" t="s">
        <v>16</v>
      </c>
      <c r="I30" s="6"/>
      <c r="J30" s="6"/>
      <c r="K30" s="10">
        <f>IF(K24="Ja",HLOOKUP(D1,'Hulpblad kranen'!D1:AA69,49,0),0)</f>
        <v>0</v>
      </c>
      <c r="L30" s="8" t="s">
        <v>19</v>
      </c>
      <c r="AN30" t="s">
        <v>417</v>
      </c>
      <c r="AO30" s="175">
        <v>2.3519999999999999</v>
      </c>
    </row>
    <row r="31" spans="1:41" ht="18" thickBot="1" x14ac:dyDescent="0.3">
      <c r="A31" s="5" t="s">
        <v>444</v>
      </c>
      <c r="B31" s="6"/>
      <c r="C31" s="6"/>
      <c r="D31" s="10">
        <f>IF(D21="Ja",((SIN(D23*PI()/180))*D22)/2+D28,0)</f>
        <v>0</v>
      </c>
      <c r="E31" s="8" t="s">
        <v>15</v>
      </c>
      <c r="H31" s="11" t="s">
        <v>17</v>
      </c>
      <c r="I31" s="12"/>
      <c r="J31" s="12"/>
      <c r="K31" s="13">
        <f>IF(K24="Ja",HLOOKUP(D1,'Hulpblad kranen'!D1:AA69,50,0),0)</f>
        <v>0</v>
      </c>
      <c r="L31" s="14" t="s">
        <v>19</v>
      </c>
    </row>
    <row r="32" spans="1:41" ht="15.75" thickBot="1" x14ac:dyDescent="0.3">
      <c r="A32" s="5"/>
      <c r="B32" s="6"/>
      <c r="C32" s="6"/>
      <c r="D32" s="9"/>
      <c r="E32" s="8"/>
      <c r="AN32" t="s">
        <v>418</v>
      </c>
      <c r="AO32">
        <v>0.25</v>
      </c>
    </row>
    <row r="33" spans="1:42" ht="18" thickBot="1" x14ac:dyDescent="0.3">
      <c r="A33" s="5" t="s">
        <v>16</v>
      </c>
      <c r="B33" s="6"/>
      <c r="C33" s="6"/>
      <c r="D33" s="10">
        <f>HLOOKUP(D1,'Hulpblad kranen'!D1:AA69,34,0)</f>
        <v>0</v>
      </c>
      <c r="E33" s="8" t="s">
        <v>19</v>
      </c>
      <c r="H33" s="15" t="s">
        <v>452</v>
      </c>
      <c r="I33" s="16"/>
      <c r="J33" s="16"/>
      <c r="K33" s="223" t="s">
        <v>30</v>
      </c>
      <c r="L33" s="17"/>
      <c r="AN33" t="s">
        <v>419</v>
      </c>
      <c r="AO33">
        <v>70</v>
      </c>
    </row>
    <row r="34" spans="1:42" ht="18" thickBot="1" x14ac:dyDescent="0.3">
      <c r="A34" s="11" t="s">
        <v>17</v>
      </c>
      <c r="B34" s="12"/>
      <c r="C34" s="12"/>
      <c r="D34" s="13">
        <f>HLOOKUP(D1,'Hulpblad kranen'!D1:AA69,35,0)</f>
        <v>0</v>
      </c>
      <c r="E34" s="14" t="s">
        <v>19</v>
      </c>
      <c r="H34" s="19" t="s">
        <v>2</v>
      </c>
      <c r="I34" s="20"/>
      <c r="J34" s="20"/>
      <c r="K34" s="22">
        <f>IF(K24="Ja",HLOOKUP(D1,'Hulpblad kranen'!D1:AA69,53,0),0)</f>
        <v>0</v>
      </c>
      <c r="L34" s="21" t="s">
        <v>12</v>
      </c>
      <c r="AO34">
        <f>COS(AO33*PI()/180)</f>
        <v>0.34202014332566882</v>
      </c>
    </row>
    <row r="35" spans="1:42" ht="15.75" thickBot="1" x14ac:dyDescent="0.3">
      <c r="A35" s="2"/>
      <c r="B35" s="2"/>
      <c r="C35" s="2"/>
      <c r="D35" s="18"/>
      <c r="E35" s="2"/>
      <c r="H35" s="5"/>
      <c r="I35" s="6"/>
      <c r="J35" s="6"/>
      <c r="K35" s="9"/>
      <c r="L35" s="8"/>
      <c r="AO35">
        <f>SIN(AO33*PI()/180)</f>
        <v>0.93969262078590832</v>
      </c>
    </row>
    <row r="36" spans="1:42" ht="15.75" thickBot="1" x14ac:dyDescent="0.3">
      <c r="A36" s="15" t="s">
        <v>448</v>
      </c>
      <c r="B36" s="16"/>
      <c r="C36" s="16"/>
      <c r="D36" s="217" t="s">
        <v>30</v>
      </c>
      <c r="E36" s="17"/>
      <c r="H36" s="5" t="s">
        <v>47</v>
      </c>
      <c r="I36" s="6"/>
      <c r="J36" s="6"/>
      <c r="K36" s="10">
        <f>IF(K24="Ja",HLOOKUP(D1,'Hulpblad kranen'!D1:AA69,54,0),0)</f>
        <v>0</v>
      </c>
      <c r="L36" s="8" t="s">
        <v>15</v>
      </c>
    </row>
    <row r="37" spans="1:42" x14ac:dyDescent="0.25">
      <c r="A37" s="5" t="s">
        <v>31</v>
      </c>
      <c r="B37" s="6"/>
      <c r="C37" s="6"/>
      <c r="D37" s="218" t="s">
        <v>32</v>
      </c>
      <c r="E37" s="8"/>
      <c r="F37">
        <f>IF(D37="Te Lood",AM1,IF(D37="Schoor VO",AM2,IF(D37="Schoor AO",AM3,0)))</f>
        <v>1</v>
      </c>
      <c r="H37" s="5" t="s">
        <v>48</v>
      </c>
      <c r="I37" s="6"/>
      <c r="J37" s="6"/>
      <c r="K37" s="10">
        <f>IF(K24="Ja",HLOOKUP(D1,'Hulpblad kranen'!D1:AA69,55,0),0)</f>
        <v>0</v>
      </c>
      <c r="L37" s="8" t="s">
        <v>15</v>
      </c>
      <c r="Q37" s="25"/>
      <c r="AO37">
        <f>AO35*AO30*AO32</f>
        <v>0.55253926102211404</v>
      </c>
      <c r="AP37">
        <f>AO32*AO34*AO29</f>
        <v>0.60537565368643387</v>
      </c>
    </row>
    <row r="38" spans="1:42" x14ac:dyDescent="0.25">
      <c r="A38" s="5" t="s">
        <v>35</v>
      </c>
      <c r="B38" s="6"/>
      <c r="C38" s="113"/>
      <c r="D38" s="219">
        <v>10</v>
      </c>
      <c r="E38" s="8" t="s">
        <v>455</v>
      </c>
      <c r="H38" s="5"/>
      <c r="I38" s="6"/>
      <c r="J38" s="6"/>
      <c r="K38" s="10"/>
      <c r="L38" s="8"/>
      <c r="N38" s="26"/>
      <c r="Q38" s="3"/>
      <c r="S38" s="3"/>
      <c r="T38" s="3"/>
      <c r="V38" s="26"/>
      <c r="AO38">
        <f>AO37*0.8*1.5</f>
        <v>0.66304711322653687</v>
      </c>
      <c r="AP38">
        <f>AP37*0.8*1.5</f>
        <v>0.72645078442372069</v>
      </c>
    </row>
    <row r="39" spans="1:42" ht="17.25" x14ac:dyDescent="0.25">
      <c r="A39" s="5"/>
      <c r="B39" s="6"/>
      <c r="C39" s="113" t="s">
        <v>454</v>
      </c>
      <c r="D39" s="219">
        <v>1</v>
      </c>
      <c r="E39" s="8" t="s">
        <v>456</v>
      </c>
      <c r="H39" s="5" t="s">
        <v>16</v>
      </c>
      <c r="I39" s="6"/>
      <c r="J39" s="6"/>
      <c r="K39" s="10">
        <f>IF(K24="Ja",HLOOKUP(D1,'Hulpblad kranen'!D1:AA69,56,0),0)</f>
        <v>0</v>
      </c>
      <c r="L39" s="8" t="s">
        <v>19</v>
      </c>
      <c r="N39" s="26"/>
      <c r="Q39" s="3"/>
      <c r="S39" s="3"/>
      <c r="T39" s="3"/>
      <c r="V39" s="26"/>
    </row>
    <row r="40" spans="1:42" ht="18" thickBot="1" x14ac:dyDescent="0.3">
      <c r="A40" s="5" t="s">
        <v>5</v>
      </c>
      <c r="B40" s="6"/>
      <c r="C40" s="6"/>
      <c r="D40" s="10">
        <f>IF(D37="Te Lood",90,ATAN(D38)*180/PI())</f>
        <v>90</v>
      </c>
      <c r="E40" s="8" t="s">
        <v>28</v>
      </c>
      <c r="H40" s="11" t="s">
        <v>17</v>
      </c>
      <c r="I40" s="12"/>
      <c r="J40" s="12"/>
      <c r="K40" s="13">
        <f>IF(K24="Ja",HLOOKUP(D1,'Hulpblad kranen'!D1:AA69,57,0),0)</f>
        <v>0</v>
      </c>
      <c r="L40" s="14" t="s">
        <v>19</v>
      </c>
      <c r="Q40" s="26"/>
      <c r="V40" s="26"/>
    </row>
    <row r="41" spans="1:42" ht="15.75" thickBot="1" x14ac:dyDescent="0.3">
      <c r="A41" s="5" t="s">
        <v>75</v>
      </c>
      <c r="B41" s="6"/>
      <c r="C41" s="6"/>
      <c r="D41" s="220">
        <v>1.5</v>
      </c>
      <c r="E41" s="8" t="s">
        <v>15</v>
      </c>
      <c r="Q41" s="26"/>
    </row>
    <row r="42" spans="1:42" ht="15.75" thickBot="1" x14ac:dyDescent="0.3">
      <c r="A42" s="5"/>
      <c r="B42" s="6"/>
      <c r="C42" s="6"/>
      <c r="D42" s="24"/>
      <c r="E42" s="8"/>
      <c r="H42" s="15" t="s">
        <v>453</v>
      </c>
      <c r="I42" s="16"/>
      <c r="J42" s="16"/>
      <c r="K42" s="221" t="s">
        <v>29</v>
      </c>
      <c r="L42" s="17"/>
      <c r="R42" s="3"/>
      <c r="AL42" t="s">
        <v>389</v>
      </c>
      <c r="AM42" s="158" t="s">
        <v>40</v>
      </c>
      <c r="AO42" s="26"/>
    </row>
    <row r="43" spans="1:42" x14ac:dyDescent="0.25">
      <c r="A43" s="5" t="s">
        <v>1</v>
      </c>
      <c r="B43" s="6"/>
      <c r="C43" s="6"/>
      <c r="D43" s="10">
        <f>HLOOKUP(D1,'Hulpblad kranen'!D1:AA69,39,0)</f>
        <v>0</v>
      </c>
      <c r="E43" s="8" t="s">
        <v>15</v>
      </c>
      <c r="F43" s="2"/>
      <c r="H43" s="19" t="s">
        <v>44</v>
      </c>
      <c r="I43" s="20"/>
      <c r="J43" s="20"/>
      <c r="K43" s="216" t="s">
        <v>43</v>
      </c>
      <c r="L43" s="21"/>
      <c r="AL43" t="s">
        <v>388</v>
      </c>
      <c r="AM43" s="158" t="s">
        <v>6</v>
      </c>
      <c r="AO43" s="26"/>
    </row>
    <row r="44" spans="1:42" x14ac:dyDescent="0.25">
      <c r="A44" s="5" t="s">
        <v>2</v>
      </c>
      <c r="B44" s="6"/>
      <c r="C44" s="6"/>
      <c r="D44" s="10">
        <f>HLOOKUP(D1,'Hulpblad kranen'!D1:AA69,38,0)</f>
        <v>0</v>
      </c>
      <c r="E44" s="8" t="s">
        <v>12</v>
      </c>
      <c r="F44" s="2"/>
      <c r="H44" s="5" t="s">
        <v>45</v>
      </c>
      <c r="I44" s="6"/>
      <c r="J44" s="6"/>
      <c r="K44" s="216" t="s">
        <v>4</v>
      </c>
      <c r="L44" s="8"/>
      <c r="AM44" s="166">
        <v>2</v>
      </c>
      <c r="AN44" t="s">
        <v>15</v>
      </c>
      <c r="AO44" t="s">
        <v>394</v>
      </c>
    </row>
    <row r="45" spans="1:42" x14ac:dyDescent="0.25">
      <c r="A45" s="5"/>
      <c r="B45" s="6"/>
      <c r="C45" s="6"/>
      <c r="D45" s="6"/>
      <c r="E45" s="8"/>
      <c r="F45" s="2"/>
      <c r="H45" s="5" t="s">
        <v>440</v>
      </c>
      <c r="I45" s="6"/>
      <c r="J45" s="6"/>
      <c r="K45" s="220">
        <v>0</v>
      </c>
      <c r="L45" s="8" t="s">
        <v>15</v>
      </c>
      <c r="AO45" s="3"/>
    </row>
    <row r="46" spans="1:42" x14ac:dyDescent="0.25">
      <c r="A46" s="5"/>
      <c r="B46" s="6"/>
      <c r="C46" s="6"/>
      <c r="D46" s="9"/>
      <c r="E46" s="8"/>
      <c r="G46" s="3"/>
      <c r="H46" s="5" t="s">
        <v>394</v>
      </c>
      <c r="I46" s="6"/>
      <c r="J46" s="6"/>
      <c r="K46" s="220">
        <v>10</v>
      </c>
      <c r="L46" s="8" t="s">
        <v>15</v>
      </c>
      <c r="AL46" t="s">
        <v>49</v>
      </c>
      <c r="AM46" s="140">
        <f>VLOOKUP(K43,'Hulpblad blokken'!A4:Q66,6,0)</f>
        <v>0.47199999999999998</v>
      </c>
      <c r="AN46" t="s">
        <v>15</v>
      </c>
    </row>
    <row r="47" spans="1:42" x14ac:dyDescent="0.25">
      <c r="A47" s="5" t="s">
        <v>397</v>
      </c>
      <c r="B47" s="6"/>
      <c r="C47" s="6"/>
      <c r="D47" s="28">
        <f>IF(D36="Ja",IF(D37="Te Lood",C72,IF(D37="Schoor VO",C82,IF(D37="Schoor AO",C92,0))),0)</f>
        <v>0</v>
      </c>
      <c r="E47" s="8" t="s">
        <v>15</v>
      </c>
      <c r="G47" s="3"/>
      <c r="H47" s="5" t="s">
        <v>2</v>
      </c>
      <c r="I47" s="6"/>
      <c r="J47" s="6"/>
      <c r="K47" s="9">
        <f>IF(K42="Ja",VLOOKUP(K43,'Hulpblad blokken'!A7:G65,3,0),0)</f>
        <v>54.8</v>
      </c>
      <c r="L47" s="8" t="s">
        <v>12</v>
      </c>
      <c r="AL47" t="s">
        <v>14</v>
      </c>
      <c r="AM47" s="4">
        <f>VLOOKUP(K43,'Hulpblad blokken'!A4:Q66,4,0)</f>
        <v>2.7829999999999999</v>
      </c>
      <c r="AN47" t="s">
        <v>15</v>
      </c>
    </row>
    <row r="48" spans="1:42" x14ac:dyDescent="0.25">
      <c r="A48" s="5" t="s">
        <v>398</v>
      </c>
      <c r="B48" s="6"/>
      <c r="C48" s="6"/>
      <c r="D48" s="28">
        <f>IF(D36="Ja",IF(D37="Te Lood",C73,IF(D37="Schoor VO",C83,IF(D37="Schoor AO",C93,0))),0)</f>
        <v>0</v>
      </c>
      <c r="E48" s="8" t="s">
        <v>15</v>
      </c>
      <c r="H48" s="5"/>
      <c r="I48" s="6"/>
      <c r="J48" s="6"/>
      <c r="K48" s="90"/>
      <c r="L48" s="8"/>
      <c r="AL48" t="s">
        <v>390</v>
      </c>
      <c r="AM48" s="140">
        <f>VLOOKUP(K43,'Hulpblad blokken'!A4:Q66,7,0)</f>
        <v>0.23599999999999999</v>
      </c>
      <c r="AN48" t="s">
        <v>15</v>
      </c>
    </row>
    <row r="49" spans="1:41" x14ac:dyDescent="0.25">
      <c r="A49" s="5"/>
      <c r="B49" s="6"/>
      <c r="C49" s="6"/>
      <c r="D49" s="9"/>
      <c r="E49" s="8"/>
      <c r="H49" s="5" t="s">
        <v>47</v>
      </c>
      <c r="I49" s="6"/>
      <c r="J49" s="6"/>
      <c r="K49" s="28">
        <f>IF(K44="giek",AM51,IF(K44="makelaar",AM54,0))</f>
        <v>14.523784375702382</v>
      </c>
      <c r="L49" s="8" t="s">
        <v>15</v>
      </c>
      <c r="AL49" t="s">
        <v>391</v>
      </c>
      <c r="AM49" s="4">
        <f>VLOOKUP(K43,'Hulpblad blokken'!A4:Q66,8,0)</f>
        <v>1.3915</v>
      </c>
      <c r="AN49" t="s">
        <v>15</v>
      </c>
    </row>
    <row r="50" spans="1:41" ht="17.25" x14ac:dyDescent="0.25">
      <c r="A50" s="5" t="s">
        <v>16</v>
      </c>
      <c r="B50" s="6"/>
      <c r="C50" s="6"/>
      <c r="D50" s="28">
        <f>IF(D36="Ja",HLOOKUP(D1,'Hulpblad kranen'!D1:AA69,42,0),0)</f>
        <v>0</v>
      </c>
      <c r="E50" s="8" t="s">
        <v>19</v>
      </c>
      <c r="H50" s="5" t="s">
        <v>48</v>
      </c>
      <c r="I50" s="6"/>
      <c r="J50" s="6"/>
      <c r="K50" s="28">
        <f>IF(K44="giek",AM52,IF(K44="makelaar",AM55,0))</f>
        <v>19.358349185172798</v>
      </c>
      <c r="L50" s="8" t="s">
        <v>15</v>
      </c>
    </row>
    <row r="51" spans="1:41" ht="18" thickBot="1" x14ac:dyDescent="0.3">
      <c r="A51" s="11" t="s">
        <v>17</v>
      </c>
      <c r="B51" s="12"/>
      <c r="C51" s="12"/>
      <c r="D51" s="29">
        <f>IF(D36="Ja",HLOOKUP(D1,'Hulpblad kranen'!D1:AA69,43,0),0)</f>
        <v>0</v>
      </c>
      <c r="E51" s="14" t="s">
        <v>19</v>
      </c>
      <c r="H51" s="5"/>
      <c r="I51" s="6"/>
      <c r="J51" s="6"/>
      <c r="K51" s="9"/>
      <c r="L51" s="8"/>
      <c r="AL51" t="s">
        <v>392</v>
      </c>
      <c r="AM51" s="4">
        <f>I69</f>
        <v>14.523784375702382</v>
      </c>
      <c r="AN51" t="s">
        <v>15</v>
      </c>
      <c r="AO51" t="s">
        <v>395</v>
      </c>
    </row>
    <row r="52" spans="1:41" ht="17.25" x14ac:dyDescent="0.25">
      <c r="H52" s="5" t="s">
        <v>16</v>
      </c>
      <c r="I52" s="6"/>
      <c r="J52" s="6"/>
      <c r="K52" s="9">
        <f>VLOOKUP(K43,'Hulpblad blokken'!A4:J68,10,0)</f>
        <v>4.2579900000000004</v>
      </c>
      <c r="L52" s="8" t="s">
        <v>19</v>
      </c>
      <c r="AL52" t="s">
        <v>393</v>
      </c>
      <c r="AM52" s="4">
        <f>I70-K46-(AM47-AM49)</f>
        <v>19.358349185172798</v>
      </c>
      <c r="AN52" t="s">
        <v>15</v>
      </c>
      <c r="AO52" t="s">
        <v>395</v>
      </c>
    </row>
    <row r="53" spans="1:41" ht="18" thickBot="1" x14ac:dyDescent="0.3">
      <c r="H53" s="11" t="s">
        <v>17</v>
      </c>
      <c r="I53" s="12"/>
      <c r="J53" s="12"/>
      <c r="K53" s="23">
        <f>VLOOKUP(K43,'Hulpblad blokken'!A4:J68,9,0)</f>
        <v>1.3135759999999999</v>
      </c>
      <c r="L53" s="14" t="s">
        <v>19</v>
      </c>
    </row>
    <row r="54" spans="1:41" x14ac:dyDescent="0.25">
      <c r="L54" s="3"/>
      <c r="AL54" t="s">
        <v>392</v>
      </c>
      <c r="AM54" s="3">
        <f>IF(D37="Te Lood",N76,IF(D37="Schoor VO",N84,IF(D37="Schoor AO",N97,0)))</f>
        <v>1.5</v>
      </c>
      <c r="AO54" t="s">
        <v>399</v>
      </c>
    </row>
    <row r="55" spans="1:41" x14ac:dyDescent="0.25">
      <c r="L55" s="3"/>
      <c r="AL55" t="s">
        <v>393</v>
      </c>
      <c r="AM55">
        <f>IF(D37="Te Lood",N77,IF(D37="Schoor VO",N85,IF(D37="Schoor AO",N98,0)))</f>
        <v>-11.391500000000001</v>
      </c>
      <c r="AO55" t="s">
        <v>399</v>
      </c>
    </row>
    <row r="63" spans="1:41" x14ac:dyDescent="0.25">
      <c r="A63" s="35" t="s">
        <v>128</v>
      </c>
      <c r="B63" s="35"/>
      <c r="C63" s="35"/>
      <c r="D63" s="35"/>
      <c r="E63" s="35"/>
      <c r="G63" s="49" t="s">
        <v>129</v>
      </c>
      <c r="H63" s="49"/>
      <c r="I63" s="49"/>
      <c r="J63" s="49"/>
      <c r="K63" s="49"/>
      <c r="L63" s="49"/>
      <c r="M63" s="49"/>
      <c r="N63" s="49"/>
      <c r="O63" s="49"/>
      <c r="P63" s="49"/>
      <c r="Q63" s="49"/>
      <c r="R63" s="49"/>
      <c r="S63" s="49"/>
      <c r="T63" s="49"/>
      <c r="V63" s="67" t="s">
        <v>130</v>
      </c>
      <c r="W63" s="67"/>
      <c r="X63" s="67"/>
      <c r="Y63" s="67"/>
      <c r="Z63" s="67"/>
      <c r="AA63" s="67"/>
      <c r="AB63" s="67"/>
      <c r="AC63" s="67"/>
      <c r="AD63" s="67"/>
      <c r="AE63" s="67"/>
      <c r="AF63" s="67"/>
      <c r="AG63" s="67"/>
      <c r="AH63" s="67"/>
      <c r="AI63" s="67"/>
    </row>
    <row r="64" spans="1:41" x14ac:dyDescent="0.25">
      <c r="A64" s="35"/>
      <c r="B64" s="35"/>
      <c r="C64" s="35"/>
      <c r="D64" s="35"/>
      <c r="E64" s="35"/>
      <c r="G64" s="49"/>
      <c r="H64" s="49"/>
      <c r="I64" s="49"/>
      <c r="J64" s="49"/>
      <c r="K64" s="49"/>
      <c r="L64" s="49"/>
      <c r="M64" s="49"/>
      <c r="N64" s="49"/>
      <c r="O64" s="49"/>
      <c r="P64" s="49"/>
      <c r="Q64" s="49"/>
      <c r="R64" s="49"/>
      <c r="S64" s="49"/>
      <c r="T64" s="49"/>
      <c r="V64" s="67"/>
      <c r="W64" s="67"/>
      <c r="X64" s="67"/>
      <c r="Y64" s="67"/>
      <c r="Z64" s="67" t="s">
        <v>89</v>
      </c>
      <c r="AA64" s="67"/>
      <c r="AB64" s="67"/>
      <c r="AC64" s="70">
        <f>AM47</f>
        <v>2.7829999999999999</v>
      </c>
      <c r="AD64" s="67" t="s">
        <v>15</v>
      </c>
      <c r="AE64" s="67"/>
      <c r="AF64" s="67"/>
      <c r="AG64" s="67"/>
      <c r="AH64" s="67"/>
      <c r="AI64" s="67"/>
    </row>
    <row r="65" spans="1:35" x14ac:dyDescent="0.25">
      <c r="A65" s="36" t="s">
        <v>76</v>
      </c>
      <c r="B65" s="37"/>
      <c r="C65" s="38"/>
      <c r="D65" s="35"/>
      <c r="E65" s="35"/>
      <c r="G65" s="49"/>
      <c r="H65" s="49"/>
      <c r="I65" s="49"/>
      <c r="J65" s="49"/>
      <c r="K65" s="49" t="s">
        <v>89</v>
      </c>
      <c r="L65" s="49"/>
      <c r="M65" s="50">
        <f>AM47</f>
        <v>2.7829999999999999</v>
      </c>
      <c r="N65" s="49" t="s">
        <v>15</v>
      </c>
      <c r="O65" s="49"/>
      <c r="P65" s="49"/>
      <c r="Q65" s="49"/>
      <c r="R65" s="49"/>
      <c r="S65" s="49"/>
      <c r="T65" s="49"/>
      <c r="V65" s="67"/>
      <c r="W65" s="67"/>
      <c r="X65" s="67"/>
      <c r="Y65" s="67"/>
      <c r="Z65" s="67" t="s">
        <v>139</v>
      </c>
      <c r="AA65" s="67"/>
      <c r="AB65" s="67"/>
      <c r="AC65" s="67">
        <f>K3</f>
        <v>15</v>
      </c>
      <c r="AD65" s="67" t="s">
        <v>15</v>
      </c>
      <c r="AE65" s="67"/>
      <c r="AF65" s="67"/>
      <c r="AG65" s="67"/>
      <c r="AH65" s="67"/>
      <c r="AI65" s="67"/>
    </row>
    <row r="66" spans="1:35" x14ac:dyDescent="0.25">
      <c r="A66" s="39" t="s">
        <v>1</v>
      </c>
      <c r="B66" s="40"/>
      <c r="C66" s="41">
        <f>D43</f>
        <v>0</v>
      </c>
      <c r="D66" s="35" t="s">
        <v>15</v>
      </c>
      <c r="E66" s="35"/>
      <c r="G66" s="49"/>
      <c r="H66" s="49"/>
      <c r="I66" s="49"/>
      <c r="J66" s="49"/>
      <c r="K66" s="49"/>
      <c r="L66" s="49"/>
      <c r="M66" s="49"/>
      <c r="N66" s="49"/>
      <c r="O66" s="49"/>
      <c r="P66" s="49"/>
      <c r="Q66" s="49"/>
      <c r="R66" s="49"/>
      <c r="S66" s="49"/>
      <c r="T66" s="49"/>
      <c r="V66" s="67"/>
      <c r="W66" s="67"/>
      <c r="X66" s="67"/>
      <c r="Y66" s="67"/>
      <c r="Z66" s="68" t="s">
        <v>83</v>
      </c>
      <c r="AA66" s="67"/>
      <c r="AB66" s="67"/>
      <c r="AC66" s="67">
        <f>K45</f>
        <v>0</v>
      </c>
      <c r="AD66" s="67" t="s">
        <v>15</v>
      </c>
      <c r="AE66" s="67"/>
      <c r="AF66" s="67"/>
      <c r="AG66" s="67"/>
      <c r="AH66" s="67"/>
      <c r="AI66" s="67"/>
    </row>
    <row r="67" spans="1:35" x14ac:dyDescent="0.25">
      <c r="A67" s="39" t="s">
        <v>47</v>
      </c>
      <c r="B67" s="40"/>
      <c r="C67" s="42">
        <f>HLOOKUP($D$1,'Hulpblad kranen'!$D$1:$AA$69,40,0)</f>
        <v>0</v>
      </c>
      <c r="D67" s="35" t="s">
        <v>15</v>
      </c>
      <c r="E67" s="35"/>
      <c r="G67" s="89" t="s">
        <v>84</v>
      </c>
      <c r="H67" s="49"/>
      <c r="I67" s="49"/>
      <c r="J67" s="49"/>
      <c r="K67" s="49"/>
      <c r="L67" s="89" t="s">
        <v>90</v>
      </c>
      <c r="M67" s="49"/>
      <c r="N67" s="49"/>
      <c r="O67" s="49"/>
      <c r="P67" s="49"/>
      <c r="Q67" s="49"/>
      <c r="R67" s="49"/>
      <c r="S67" s="49"/>
      <c r="T67" s="49"/>
      <c r="V67" s="165" t="s">
        <v>84</v>
      </c>
      <c r="W67" s="67"/>
      <c r="X67" s="67"/>
      <c r="Y67" s="67"/>
      <c r="Z67" s="67"/>
      <c r="AA67" s="165" t="s">
        <v>6</v>
      </c>
      <c r="AB67" s="67"/>
      <c r="AC67" s="67"/>
      <c r="AD67" s="67"/>
      <c r="AE67" s="67"/>
      <c r="AF67" s="67"/>
      <c r="AG67" s="67"/>
      <c r="AH67" s="67"/>
      <c r="AI67" s="67"/>
    </row>
    <row r="68" spans="1:35" x14ac:dyDescent="0.25">
      <c r="A68" s="43" t="s">
        <v>48</v>
      </c>
      <c r="B68" s="44"/>
      <c r="C68" s="45">
        <f>HLOOKUP(D1,'Hulpblad kranen'!D1:AA69,41,0)</f>
        <v>0</v>
      </c>
      <c r="D68" s="35" t="s">
        <v>15</v>
      </c>
      <c r="E68" s="35"/>
      <c r="G68" s="49"/>
      <c r="H68" s="49"/>
      <c r="I68" s="49"/>
      <c r="J68" s="49"/>
      <c r="K68" s="49"/>
      <c r="L68" s="49"/>
      <c r="M68" s="49"/>
      <c r="N68" s="49"/>
      <c r="O68" s="49"/>
      <c r="P68" s="49"/>
      <c r="Q68" s="49"/>
      <c r="R68" s="49"/>
      <c r="S68" s="49"/>
      <c r="T68" s="49"/>
      <c r="V68" s="67"/>
      <c r="W68" s="67"/>
      <c r="X68" s="67"/>
      <c r="Y68" s="67"/>
      <c r="Z68" s="67"/>
      <c r="AA68" s="67"/>
      <c r="AB68" s="67"/>
      <c r="AC68" s="67"/>
      <c r="AD68" s="67"/>
      <c r="AE68" s="69"/>
      <c r="AF68" s="67"/>
      <c r="AG68" s="67"/>
      <c r="AH68" s="67"/>
      <c r="AI68" s="67"/>
    </row>
    <row r="69" spans="1:35" x14ac:dyDescent="0.25">
      <c r="A69" s="35"/>
      <c r="B69" s="35"/>
      <c r="C69" s="35"/>
      <c r="D69" s="35"/>
      <c r="E69" s="35"/>
      <c r="G69" s="49" t="s">
        <v>85</v>
      </c>
      <c r="H69" s="49"/>
      <c r="I69" s="50">
        <f>COS(D8*PI()/180)*D7+D12</f>
        <v>14.523784375702382</v>
      </c>
      <c r="J69" s="49" t="s">
        <v>15</v>
      </c>
      <c r="K69" s="49"/>
      <c r="L69" s="49" t="s">
        <v>1</v>
      </c>
      <c r="M69" s="51"/>
      <c r="N69" s="52">
        <f>D43</f>
        <v>0</v>
      </c>
      <c r="O69" s="49" t="s">
        <v>15</v>
      </c>
      <c r="P69" s="49"/>
      <c r="Q69" s="49"/>
      <c r="R69" s="49"/>
      <c r="S69" s="49"/>
      <c r="T69" s="49"/>
      <c r="V69" s="67" t="s">
        <v>85</v>
      </c>
      <c r="W69" s="67"/>
      <c r="X69" s="70">
        <f>COS(D8*PI()/180)*D7+D12</f>
        <v>14.523784375702382</v>
      </c>
      <c r="Y69" s="67" t="s">
        <v>15</v>
      </c>
      <c r="Z69" s="67"/>
      <c r="AA69" s="67" t="s">
        <v>1</v>
      </c>
      <c r="AB69" s="71"/>
      <c r="AC69" s="72">
        <f>D43</f>
        <v>0</v>
      </c>
      <c r="AD69" s="67" t="s">
        <v>15</v>
      </c>
      <c r="AE69" s="67"/>
      <c r="AF69" s="67"/>
      <c r="AG69" s="67"/>
      <c r="AH69" s="67"/>
      <c r="AI69" s="67"/>
    </row>
    <row r="70" spans="1:35" x14ac:dyDescent="0.25">
      <c r="A70" s="36" t="s">
        <v>77</v>
      </c>
      <c r="B70" s="37"/>
      <c r="C70" s="38"/>
      <c r="D70" s="35"/>
      <c r="E70" s="35"/>
      <c r="G70" s="49" t="s">
        <v>86</v>
      </c>
      <c r="H70" s="49"/>
      <c r="I70" s="50">
        <f>SIN(D8*PI()/180)*D7+D13</f>
        <v>30.749849185172799</v>
      </c>
      <c r="J70" s="49" t="s">
        <v>15</v>
      </c>
      <c r="K70" s="49"/>
      <c r="L70" s="53" t="s">
        <v>91</v>
      </c>
      <c r="M70" s="53"/>
      <c r="N70" s="54">
        <f>N69-K46-(AM47-AM49)</f>
        <v>-11.391500000000001</v>
      </c>
      <c r="O70" s="49" t="s">
        <v>15</v>
      </c>
      <c r="P70" s="49"/>
      <c r="Q70" s="49"/>
      <c r="R70" s="49"/>
      <c r="S70" s="49"/>
      <c r="T70" s="49"/>
      <c r="V70" s="67" t="s">
        <v>86</v>
      </c>
      <c r="W70" s="67"/>
      <c r="X70" s="70">
        <f>SIN(D8*PI()/180)*D7+D13</f>
        <v>30.749849185172799</v>
      </c>
      <c r="Y70" s="67" t="s">
        <v>15</v>
      </c>
      <c r="Z70" s="67"/>
      <c r="AA70" s="68" t="s">
        <v>91</v>
      </c>
      <c r="AB70" s="68"/>
      <c r="AC70" s="68">
        <f>AM55</f>
        <v>-11.391500000000001</v>
      </c>
      <c r="AD70" s="67" t="s">
        <v>15</v>
      </c>
      <c r="AE70" s="67"/>
      <c r="AF70" s="67"/>
      <c r="AG70" s="67"/>
      <c r="AH70" s="67"/>
      <c r="AI70" s="67"/>
    </row>
    <row r="71" spans="1:35" x14ac:dyDescent="0.25">
      <c r="A71" s="39" t="s">
        <v>78</v>
      </c>
      <c r="B71" s="40"/>
      <c r="C71" s="42">
        <f>D41</f>
        <v>1.5</v>
      </c>
      <c r="D71" s="35" t="s">
        <v>15</v>
      </c>
      <c r="E71" s="35"/>
      <c r="G71" s="49"/>
      <c r="H71" s="49"/>
      <c r="I71" s="49"/>
      <c r="J71" s="49"/>
      <c r="K71" s="49"/>
      <c r="L71" s="53" t="s">
        <v>400</v>
      </c>
      <c r="M71" s="54"/>
      <c r="N71" s="54">
        <f>N69-AM44-AM47</f>
        <v>-4.7829999999999995</v>
      </c>
      <c r="O71" s="49" t="s">
        <v>15</v>
      </c>
      <c r="P71" s="49"/>
      <c r="Q71" s="49"/>
      <c r="R71" s="49"/>
      <c r="S71" s="49"/>
      <c r="T71" s="49"/>
      <c r="V71" s="67"/>
      <c r="W71" s="67"/>
      <c r="X71" s="67"/>
      <c r="Y71" s="67"/>
      <c r="Z71" s="67"/>
      <c r="AA71" s="68" t="s">
        <v>138</v>
      </c>
      <c r="AB71" s="73"/>
      <c r="AC71" s="73">
        <f>N71</f>
        <v>-4.7829999999999995</v>
      </c>
      <c r="AD71" s="67" t="s">
        <v>15</v>
      </c>
      <c r="AE71" s="67"/>
      <c r="AF71" s="67"/>
      <c r="AG71" s="67"/>
      <c r="AH71" s="67"/>
      <c r="AI71" s="67"/>
    </row>
    <row r="72" spans="1:35" x14ac:dyDescent="0.25">
      <c r="A72" s="39" t="s">
        <v>47</v>
      </c>
      <c r="B72" s="40"/>
      <c r="C72" s="42">
        <f>C67+C71</f>
        <v>1.5</v>
      </c>
      <c r="D72" s="35" t="s">
        <v>15</v>
      </c>
      <c r="E72" s="35"/>
      <c r="G72" s="49" t="s">
        <v>87</v>
      </c>
      <c r="H72" s="49"/>
      <c r="I72" s="50">
        <f>I69</f>
        <v>14.523784375702382</v>
      </c>
      <c r="J72" s="49" t="s">
        <v>15</v>
      </c>
      <c r="K72" s="49"/>
      <c r="L72" s="49"/>
      <c r="M72" s="53"/>
      <c r="N72" s="53"/>
      <c r="O72" s="49"/>
      <c r="P72" s="49"/>
      <c r="Q72" s="49"/>
      <c r="R72" s="49"/>
      <c r="S72" s="49"/>
      <c r="T72" s="49"/>
      <c r="V72" s="67" t="s">
        <v>87</v>
      </c>
      <c r="W72" s="67"/>
      <c r="X72" s="70">
        <f>X69</f>
        <v>14.523784375702382</v>
      </c>
      <c r="Y72" s="67" t="s">
        <v>15</v>
      </c>
      <c r="Z72" s="67"/>
      <c r="AA72" s="67" t="s">
        <v>505</v>
      </c>
      <c r="AB72" s="68"/>
      <c r="AC72" s="73">
        <f>K46</f>
        <v>10</v>
      </c>
      <c r="AD72" s="67" t="s">
        <v>15</v>
      </c>
      <c r="AE72" s="67"/>
      <c r="AF72" s="67"/>
      <c r="AG72" s="67"/>
      <c r="AH72" s="67"/>
      <c r="AI72" s="67"/>
    </row>
    <row r="73" spans="1:35" x14ac:dyDescent="0.25">
      <c r="A73" s="43" t="s">
        <v>48</v>
      </c>
      <c r="B73" s="44"/>
      <c r="C73" s="45">
        <f>C68</f>
        <v>0</v>
      </c>
      <c r="D73" s="35" t="s">
        <v>15</v>
      </c>
      <c r="E73" s="35"/>
      <c r="G73" s="49" t="s">
        <v>88</v>
      </c>
      <c r="H73" s="49"/>
      <c r="I73" s="50">
        <f>I70-K46-(AM47-AM49)</f>
        <v>19.358349185172798</v>
      </c>
      <c r="J73" s="49" t="s">
        <v>15</v>
      </c>
      <c r="K73" s="49"/>
      <c r="L73" s="53"/>
      <c r="M73" s="53"/>
      <c r="N73" s="53"/>
      <c r="O73" s="49"/>
      <c r="P73" s="49"/>
      <c r="Q73" s="49"/>
      <c r="R73" s="49"/>
      <c r="S73" s="49"/>
      <c r="T73" s="49"/>
      <c r="V73" s="67" t="s">
        <v>88</v>
      </c>
      <c r="W73" s="67"/>
      <c r="X73" s="70">
        <f>X70-AC64/2</f>
        <v>29.358349185172798</v>
      </c>
      <c r="Y73" s="67" t="s">
        <v>15</v>
      </c>
      <c r="Z73" s="67"/>
      <c r="AA73" s="68"/>
      <c r="AB73" s="68"/>
      <c r="AC73" s="68"/>
      <c r="AD73" s="67"/>
      <c r="AE73" s="67"/>
      <c r="AF73" s="67"/>
      <c r="AG73" s="67"/>
      <c r="AH73" s="67"/>
      <c r="AI73" s="67"/>
    </row>
    <row r="74" spans="1:35" x14ac:dyDescent="0.25">
      <c r="A74" s="35"/>
      <c r="B74" s="35"/>
      <c r="C74" s="35"/>
      <c r="D74" s="35"/>
      <c r="E74" s="35"/>
      <c r="G74" s="49"/>
      <c r="H74" s="49"/>
      <c r="I74" s="49"/>
      <c r="J74" s="49"/>
      <c r="K74" s="49"/>
      <c r="L74" s="55" t="s">
        <v>92</v>
      </c>
      <c r="M74" s="56"/>
      <c r="N74" s="57"/>
      <c r="O74" s="49"/>
      <c r="P74" s="49"/>
      <c r="Q74" s="49"/>
      <c r="R74" s="49"/>
      <c r="S74" s="49"/>
      <c r="T74" s="49"/>
      <c r="V74" s="67"/>
      <c r="W74" s="67"/>
      <c r="X74" s="67"/>
      <c r="Y74" s="67"/>
      <c r="Z74" s="67"/>
      <c r="AA74" s="74" t="s">
        <v>92</v>
      </c>
      <c r="AB74" s="75"/>
      <c r="AC74" s="76"/>
      <c r="AD74" s="67"/>
      <c r="AE74" s="67"/>
      <c r="AF74" s="67"/>
      <c r="AG74" s="67"/>
      <c r="AH74" s="67"/>
      <c r="AI74" s="67"/>
    </row>
    <row r="75" spans="1:35" x14ac:dyDescent="0.25">
      <c r="A75" s="36" t="s">
        <v>33</v>
      </c>
      <c r="B75" s="37"/>
      <c r="C75" s="38"/>
      <c r="D75" s="35"/>
      <c r="E75" s="35"/>
      <c r="G75" s="49"/>
      <c r="H75" s="49"/>
      <c r="I75" s="49"/>
      <c r="J75" s="49"/>
      <c r="K75" s="49"/>
      <c r="L75" s="58" t="s">
        <v>78</v>
      </c>
      <c r="M75" s="53"/>
      <c r="N75" s="60">
        <f>C71</f>
        <v>1.5</v>
      </c>
      <c r="O75" s="49" t="s">
        <v>15</v>
      </c>
      <c r="P75" s="49"/>
      <c r="Q75" s="49"/>
      <c r="R75" s="49"/>
      <c r="S75" s="49"/>
      <c r="T75" s="49"/>
      <c r="V75" s="67" t="s">
        <v>137</v>
      </c>
      <c r="W75" s="67"/>
      <c r="X75" s="70">
        <f>X73-K3/2</f>
        <v>21.858349185172798</v>
      </c>
      <c r="Y75" s="67" t="s">
        <v>15</v>
      </c>
      <c r="Z75" s="67"/>
      <c r="AA75" s="77" t="s">
        <v>78</v>
      </c>
      <c r="AB75" s="68"/>
      <c r="AC75" s="78">
        <f>R71</f>
        <v>0</v>
      </c>
      <c r="AD75" s="67" t="s">
        <v>15</v>
      </c>
      <c r="AE75" s="67"/>
      <c r="AF75" s="67"/>
      <c r="AG75" s="67"/>
      <c r="AH75" s="67"/>
      <c r="AI75" s="67"/>
    </row>
    <row r="76" spans="1:35" x14ac:dyDescent="0.25">
      <c r="A76" s="39" t="s">
        <v>78</v>
      </c>
      <c r="B76" s="40"/>
      <c r="C76" s="41">
        <f>D41</f>
        <v>1.5</v>
      </c>
      <c r="D76" s="35"/>
      <c r="E76" s="35"/>
      <c r="G76" s="49"/>
      <c r="H76" s="49"/>
      <c r="I76" s="49"/>
      <c r="J76" s="49"/>
      <c r="K76" s="49"/>
      <c r="L76" s="58" t="s">
        <v>47</v>
      </c>
      <c r="M76" s="53"/>
      <c r="N76" s="60">
        <f>C72+K45</f>
        <v>1.5</v>
      </c>
      <c r="O76" s="49" t="s">
        <v>15</v>
      </c>
      <c r="P76" s="49" t="s">
        <v>389</v>
      </c>
      <c r="Q76" s="49"/>
      <c r="R76" s="49"/>
      <c r="S76" s="49"/>
      <c r="T76" s="49"/>
      <c r="V76" s="67"/>
      <c r="W76" s="67"/>
      <c r="X76" s="67"/>
      <c r="Y76" s="67"/>
      <c r="Z76" s="67"/>
      <c r="AA76" s="77" t="s">
        <v>47</v>
      </c>
      <c r="AB76" s="68"/>
      <c r="AC76" s="79">
        <f>C72+K45</f>
        <v>1.5</v>
      </c>
      <c r="AD76" s="67" t="s">
        <v>15</v>
      </c>
      <c r="AE76" s="67"/>
      <c r="AF76" s="67"/>
      <c r="AG76" s="67"/>
      <c r="AH76" s="67"/>
      <c r="AI76" s="67"/>
    </row>
    <row r="77" spans="1:35" x14ac:dyDescent="0.25">
      <c r="A77" s="39" t="s">
        <v>79</v>
      </c>
      <c r="B77" s="40"/>
      <c r="C77" s="46">
        <f>1/D38</f>
        <v>0.1</v>
      </c>
      <c r="D77" s="35"/>
      <c r="E77" s="35"/>
      <c r="G77" s="49"/>
      <c r="H77" s="49"/>
      <c r="I77" s="49"/>
      <c r="J77" s="49"/>
      <c r="K77" s="49"/>
      <c r="L77" s="61" t="s">
        <v>48</v>
      </c>
      <c r="M77" s="62"/>
      <c r="N77" s="63">
        <f>C66-K46-(AM47-AM49)</f>
        <v>-11.391500000000001</v>
      </c>
      <c r="O77" s="49" t="s">
        <v>15</v>
      </c>
      <c r="P77" s="49" t="s">
        <v>389</v>
      </c>
      <c r="Q77" s="49"/>
      <c r="R77" s="49"/>
      <c r="S77" s="49"/>
      <c r="T77" s="49"/>
      <c r="V77" s="67"/>
      <c r="W77" s="67"/>
      <c r="X77" s="67"/>
      <c r="Y77" s="67"/>
      <c r="Z77" s="67"/>
      <c r="AA77" s="80" t="s">
        <v>48</v>
      </c>
      <c r="AB77" s="81"/>
      <c r="AC77" s="82">
        <f>C66-AC64-AC65/2-AC72</f>
        <v>-20.283000000000001</v>
      </c>
      <c r="AD77" s="67" t="s">
        <v>15</v>
      </c>
      <c r="AE77" s="67"/>
      <c r="AF77" s="67"/>
      <c r="AG77" s="67"/>
      <c r="AH77" s="67"/>
      <c r="AI77" s="67"/>
    </row>
    <row r="78" spans="1:35" x14ac:dyDescent="0.25">
      <c r="A78" s="39" t="s">
        <v>5</v>
      </c>
      <c r="B78" s="40"/>
      <c r="C78" s="42">
        <f>ATAN(C77)*180/PI()</f>
        <v>5.710593137499643</v>
      </c>
      <c r="D78" s="35" t="s">
        <v>28</v>
      </c>
      <c r="E78" s="35"/>
      <c r="G78" s="49"/>
      <c r="H78" s="49"/>
      <c r="I78" s="49"/>
      <c r="J78" s="49"/>
      <c r="K78" s="49"/>
      <c r="L78" s="53"/>
      <c r="M78" s="53"/>
      <c r="N78" s="53"/>
      <c r="O78" s="49"/>
      <c r="P78" s="49"/>
      <c r="Q78" s="49"/>
      <c r="R78" s="49"/>
      <c r="S78" s="49"/>
      <c r="T78" s="49"/>
      <c r="V78" s="67"/>
      <c r="W78" s="67"/>
      <c r="X78" s="67"/>
      <c r="Y78" s="67"/>
      <c r="Z78" s="67"/>
      <c r="AA78" s="67"/>
      <c r="AB78" s="67"/>
      <c r="AC78" s="67"/>
      <c r="AD78" s="67"/>
      <c r="AE78" s="67"/>
      <c r="AF78" s="67"/>
      <c r="AG78" s="67"/>
      <c r="AH78" s="67"/>
      <c r="AI78" s="67"/>
    </row>
    <row r="79" spans="1:35" x14ac:dyDescent="0.25">
      <c r="A79" s="39" t="s">
        <v>80</v>
      </c>
      <c r="B79" s="40"/>
      <c r="C79" s="42">
        <f>SIN(C78*PI()/180)*C66</f>
        <v>0</v>
      </c>
      <c r="D79" s="35" t="s">
        <v>15</v>
      </c>
      <c r="E79" s="35"/>
      <c r="G79" s="49"/>
      <c r="H79" s="49"/>
      <c r="I79" s="49"/>
      <c r="J79" s="49"/>
      <c r="K79" s="49"/>
      <c r="L79" s="55" t="s">
        <v>33</v>
      </c>
      <c r="M79" s="56"/>
      <c r="N79" s="57"/>
      <c r="O79" s="49"/>
      <c r="P79" s="49"/>
      <c r="Q79" s="49"/>
      <c r="R79" s="49"/>
      <c r="S79" s="49"/>
      <c r="T79" s="49"/>
      <c r="V79" s="67"/>
      <c r="W79" s="67"/>
      <c r="X79" s="67"/>
      <c r="Y79" s="67"/>
      <c r="Z79" s="67"/>
      <c r="AA79" s="74" t="s">
        <v>33</v>
      </c>
      <c r="AB79" s="75"/>
      <c r="AC79" s="76"/>
      <c r="AD79" s="67"/>
      <c r="AE79" s="67"/>
      <c r="AF79" s="67"/>
      <c r="AG79" s="67"/>
      <c r="AH79" s="67"/>
      <c r="AI79" s="67"/>
    </row>
    <row r="80" spans="1:35" x14ac:dyDescent="0.25">
      <c r="A80" s="39" t="s">
        <v>14</v>
      </c>
      <c r="B80" s="40"/>
      <c r="C80" s="42">
        <f>COS(C78*PI()/180)*C66</f>
        <v>0</v>
      </c>
      <c r="D80" s="35" t="s">
        <v>15</v>
      </c>
      <c r="E80" s="35"/>
      <c r="G80" s="49"/>
      <c r="H80" s="49"/>
      <c r="I80" s="49"/>
      <c r="J80" s="49"/>
      <c r="K80" s="49"/>
      <c r="L80" s="58" t="s">
        <v>78</v>
      </c>
      <c r="M80" s="53"/>
      <c r="N80" s="59">
        <f>C76</f>
        <v>1.5</v>
      </c>
      <c r="O80" s="49"/>
      <c r="P80" s="49"/>
      <c r="Q80" s="49"/>
      <c r="R80" s="49"/>
      <c r="S80" s="49"/>
      <c r="T80" s="49"/>
      <c r="V80" s="67"/>
      <c r="W80" s="67"/>
      <c r="X80" s="67"/>
      <c r="Y80" s="67"/>
      <c r="Z80" s="67"/>
      <c r="AA80" s="77" t="s">
        <v>78</v>
      </c>
      <c r="AB80" s="68"/>
      <c r="AC80" s="78">
        <f>C76</f>
        <v>1.5</v>
      </c>
      <c r="AD80" s="67"/>
      <c r="AE80" s="67"/>
      <c r="AF80" s="67"/>
      <c r="AG80" s="67"/>
      <c r="AH80" s="67"/>
      <c r="AI80" s="67"/>
    </row>
    <row r="81" spans="1:35" x14ac:dyDescent="0.25">
      <c r="A81" s="39"/>
      <c r="B81" s="40"/>
      <c r="C81" s="47"/>
      <c r="D81" s="35"/>
      <c r="E81" s="35"/>
      <c r="G81" s="49"/>
      <c r="H81" s="49"/>
      <c r="I81" s="49"/>
      <c r="J81" s="49"/>
      <c r="K81" s="49"/>
      <c r="L81" s="58" t="s">
        <v>79</v>
      </c>
      <c r="M81" s="53"/>
      <c r="N81" s="64">
        <f>C77</f>
        <v>0.1</v>
      </c>
      <c r="O81" s="49"/>
      <c r="P81" s="49"/>
      <c r="Q81" s="49"/>
      <c r="R81" s="49"/>
      <c r="S81" s="49"/>
      <c r="T81" s="49"/>
      <c r="V81" s="67"/>
      <c r="W81" s="67"/>
      <c r="X81" s="67"/>
      <c r="Y81" s="67"/>
      <c r="Z81" s="67"/>
      <c r="AA81" s="77" t="s">
        <v>79</v>
      </c>
      <c r="AB81" s="68"/>
      <c r="AC81" s="83">
        <f>C77</f>
        <v>0.1</v>
      </c>
      <c r="AD81" s="67"/>
      <c r="AE81" s="67"/>
      <c r="AF81" s="67"/>
      <c r="AG81" s="67"/>
      <c r="AH81" s="67"/>
      <c r="AI81" s="67"/>
    </row>
    <row r="82" spans="1:35" x14ac:dyDescent="0.25">
      <c r="A82" s="39" t="s">
        <v>47</v>
      </c>
      <c r="B82" s="40"/>
      <c r="C82" s="42">
        <f>C67+C76+C79/2</f>
        <v>1.5</v>
      </c>
      <c r="D82" s="35" t="s">
        <v>15</v>
      </c>
      <c r="E82" s="48">
        <f>C67+C79</f>
        <v>0</v>
      </c>
      <c r="G82" s="49"/>
      <c r="H82" s="49"/>
      <c r="I82" s="49"/>
      <c r="J82" s="49"/>
      <c r="K82" s="49"/>
      <c r="L82" s="58" t="s">
        <v>5</v>
      </c>
      <c r="M82" s="53"/>
      <c r="N82" s="60">
        <f>C78</f>
        <v>5.710593137499643</v>
      </c>
      <c r="O82" s="49" t="s">
        <v>28</v>
      </c>
      <c r="P82" s="49"/>
      <c r="Q82" s="49"/>
      <c r="R82" s="49"/>
      <c r="S82" s="49"/>
      <c r="T82" s="49"/>
      <c r="V82" s="67"/>
      <c r="W82" s="67"/>
      <c r="X82" s="67"/>
      <c r="Y82" s="67"/>
      <c r="Z82" s="67"/>
      <c r="AA82" s="77" t="s">
        <v>5</v>
      </c>
      <c r="AB82" s="68"/>
      <c r="AC82" s="79">
        <f>C78</f>
        <v>5.710593137499643</v>
      </c>
      <c r="AD82" s="67" t="s">
        <v>28</v>
      </c>
      <c r="AE82" s="67"/>
      <c r="AF82" s="67"/>
      <c r="AG82" s="67"/>
      <c r="AH82" s="67"/>
      <c r="AI82" s="67"/>
    </row>
    <row r="83" spans="1:35" x14ac:dyDescent="0.25">
      <c r="A83" s="43" t="s">
        <v>48</v>
      </c>
      <c r="B83" s="44"/>
      <c r="C83" s="45">
        <f>C80/2</f>
        <v>0</v>
      </c>
      <c r="D83" s="35" t="s">
        <v>15</v>
      </c>
      <c r="E83" s="35"/>
      <c r="G83" s="49"/>
      <c r="H83" s="49"/>
      <c r="I83" s="49"/>
      <c r="J83" s="49"/>
      <c r="K83" s="49"/>
      <c r="L83" s="58" t="s">
        <v>93</v>
      </c>
      <c r="M83" s="53"/>
      <c r="N83" s="60">
        <f>SIN(N82*PI()/180)*N70</f>
        <v>-1.1334966152277093</v>
      </c>
      <c r="O83" s="49" t="s">
        <v>15</v>
      </c>
      <c r="P83" s="49" t="s">
        <v>97</v>
      </c>
      <c r="Q83" s="49"/>
      <c r="R83" s="49"/>
      <c r="S83" s="49"/>
      <c r="T83" s="49"/>
      <c r="V83" s="67"/>
      <c r="W83" s="67"/>
      <c r="X83" s="67"/>
      <c r="Y83" s="67"/>
      <c r="Z83" s="67"/>
      <c r="AA83" s="77" t="s">
        <v>93</v>
      </c>
      <c r="AB83" s="68"/>
      <c r="AC83" s="79">
        <f>SIN(AC82*PI()/180)*AC77</f>
        <v>-2.0182339329029215</v>
      </c>
      <c r="AD83" s="67" t="s">
        <v>15</v>
      </c>
      <c r="AE83" s="67"/>
      <c r="AF83" s="67"/>
      <c r="AG83" s="67"/>
      <c r="AH83" s="67"/>
      <c r="AI83" s="67"/>
    </row>
    <row r="84" spans="1:35" x14ac:dyDescent="0.25">
      <c r="A84" s="35"/>
      <c r="B84" s="35"/>
      <c r="C84" s="35"/>
      <c r="D84" s="35"/>
      <c r="E84" s="35"/>
      <c r="G84" s="49"/>
      <c r="H84" s="49"/>
      <c r="I84" s="49"/>
      <c r="J84" s="49"/>
      <c r="K84" s="49"/>
      <c r="L84" s="58"/>
      <c r="M84" s="53" t="s">
        <v>94</v>
      </c>
      <c r="N84" s="65">
        <f>COS(N82*PI()/180)*K45</f>
        <v>0</v>
      </c>
      <c r="O84" s="49" t="s">
        <v>15</v>
      </c>
      <c r="P84" s="49" t="s">
        <v>99</v>
      </c>
      <c r="Q84" s="49"/>
      <c r="R84" s="49"/>
      <c r="S84" s="49"/>
      <c r="T84" s="49"/>
      <c r="V84" s="67"/>
      <c r="W84" s="67"/>
      <c r="X84" s="67"/>
      <c r="Y84" s="67"/>
      <c r="Z84" s="67"/>
      <c r="AA84" s="77"/>
      <c r="AB84" s="68" t="s">
        <v>94</v>
      </c>
      <c r="AC84" s="84">
        <f>COS(AC82*PI()/180)*K45</f>
        <v>0</v>
      </c>
      <c r="AD84" s="67" t="s">
        <v>15</v>
      </c>
      <c r="AE84" s="67"/>
      <c r="AF84" s="67"/>
      <c r="AG84" s="67"/>
      <c r="AH84" s="67"/>
      <c r="AI84" s="67"/>
    </row>
    <row r="85" spans="1:35" x14ac:dyDescent="0.25">
      <c r="A85" s="36" t="s">
        <v>34</v>
      </c>
      <c r="B85" s="37"/>
      <c r="C85" s="38"/>
      <c r="D85" s="35"/>
      <c r="E85" s="35"/>
      <c r="G85" s="49"/>
      <c r="H85" s="49"/>
      <c r="I85" s="49"/>
      <c r="J85" s="49"/>
      <c r="K85" s="49"/>
      <c r="L85" s="58" t="s">
        <v>96</v>
      </c>
      <c r="M85" s="53"/>
      <c r="N85" s="59">
        <f>COS(N82*PI()/180)*N70</f>
        <v>-11.334966152277092</v>
      </c>
      <c r="O85" s="49" t="s">
        <v>15</v>
      </c>
      <c r="P85" s="49" t="s">
        <v>98</v>
      </c>
      <c r="Q85" s="49"/>
      <c r="R85" s="49"/>
      <c r="S85" s="49"/>
      <c r="T85" s="49"/>
      <c r="V85" s="67"/>
      <c r="W85" s="67"/>
      <c r="X85" s="67"/>
      <c r="Y85" s="67"/>
      <c r="Z85" s="67"/>
      <c r="AA85" s="77" t="s">
        <v>96</v>
      </c>
      <c r="AB85" s="68"/>
      <c r="AC85" s="78">
        <f>COS(AC82*PI()/180)*AC77</f>
        <v>-20.182339329029212</v>
      </c>
      <c r="AD85" s="67" t="s">
        <v>15</v>
      </c>
      <c r="AE85" s="67"/>
      <c r="AF85" s="67"/>
      <c r="AG85" s="67"/>
      <c r="AH85" s="67"/>
      <c r="AI85" s="67"/>
    </row>
    <row r="86" spans="1:35" x14ac:dyDescent="0.25">
      <c r="A86" s="39" t="s">
        <v>78</v>
      </c>
      <c r="B86" s="40"/>
      <c r="C86" s="41">
        <f>D41</f>
        <v>1.5</v>
      </c>
      <c r="D86" s="35"/>
      <c r="E86" s="35"/>
      <c r="G86" s="49"/>
      <c r="H86" s="49"/>
      <c r="I86" s="49"/>
      <c r="J86" s="49"/>
      <c r="K86" s="49"/>
      <c r="L86" s="58"/>
      <c r="M86" s="53" t="s">
        <v>95</v>
      </c>
      <c r="N86" s="66">
        <f>SIN(N82*PI()/180)*K45</f>
        <v>0</v>
      </c>
      <c r="O86" s="49" t="s">
        <v>15</v>
      </c>
      <c r="P86" s="49" t="s">
        <v>100</v>
      </c>
      <c r="Q86" s="49"/>
      <c r="R86" s="49"/>
      <c r="S86" s="49"/>
      <c r="T86" s="49"/>
      <c r="V86" s="67"/>
      <c r="W86" s="67"/>
      <c r="X86" s="67"/>
      <c r="Y86" s="67"/>
      <c r="Z86" s="67"/>
      <c r="AA86" s="77"/>
      <c r="AB86" s="68" t="s">
        <v>95</v>
      </c>
      <c r="AC86" s="85">
        <f>SIN(AC82*PI()/180)*K45</f>
        <v>0</v>
      </c>
      <c r="AD86" s="67" t="s">
        <v>15</v>
      </c>
      <c r="AE86" s="67"/>
      <c r="AF86" s="67"/>
      <c r="AG86" s="67"/>
      <c r="AH86" s="67"/>
      <c r="AI86" s="67"/>
    </row>
    <row r="87" spans="1:35" x14ac:dyDescent="0.25">
      <c r="A87" s="39" t="s">
        <v>79</v>
      </c>
      <c r="B87" s="40"/>
      <c r="C87" s="46">
        <f>1/D38</f>
        <v>0.1</v>
      </c>
      <c r="D87" s="35"/>
      <c r="E87" s="35"/>
      <c r="G87" s="49"/>
      <c r="H87" s="49"/>
      <c r="I87" s="49"/>
      <c r="J87" s="49"/>
      <c r="K87" s="49"/>
      <c r="L87" s="58"/>
      <c r="M87" s="53"/>
      <c r="N87" s="65"/>
      <c r="O87" s="49"/>
      <c r="P87" s="49"/>
      <c r="Q87" s="49"/>
      <c r="R87" s="49"/>
      <c r="S87" s="49"/>
      <c r="T87" s="49"/>
      <c r="V87" s="67"/>
      <c r="W87" s="67"/>
      <c r="X87" s="67"/>
      <c r="Y87" s="67"/>
      <c r="Z87" s="67"/>
      <c r="AA87" s="77"/>
      <c r="AB87" s="68"/>
      <c r="AC87" s="84"/>
      <c r="AD87" s="67"/>
      <c r="AE87" s="67"/>
      <c r="AF87" s="67"/>
      <c r="AG87" s="67"/>
      <c r="AH87" s="67"/>
      <c r="AI87" s="67"/>
    </row>
    <row r="88" spans="1:35" x14ac:dyDescent="0.25">
      <c r="A88" s="39" t="s">
        <v>5</v>
      </c>
      <c r="B88" s="40"/>
      <c r="C88" s="42">
        <f>ATAN(C87)*180/PI()</f>
        <v>5.710593137499643</v>
      </c>
      <c r="D88" s="35" t="s">
        <v>28</v>
      </c>
      <c r="E88" s="35"/>
      <c r="G88" s="49"/>
      <c r="H88" s="49"/>
      <c r="I88" s="49"/>
      <c r="J88" s="49"/>
      <c r="K88" s="49"/>
      <c r="L88" s="58"/>
      <c r="M88" s="53"/>
      <c r="N88" s="65"/>
      <c r="O88" s="49"/>
      <c r="P88" s="49"/>
      <c r="Q88" s="49"/>
      <c r="R88" s="49"/>
      <c r="S88" s="49"/>
      <c r="T88" s="49"/>
      <c r="V88" s="67"/>
      <c r="W88" s="67"/>
      <c r="X88" s="67"/>
      <c r="Y88" s="67"/>
      <c r="Z88" s="67"/>
      <c r="AA88" s="77"/>
      <c r="AB88" s="68"/>
      <c r="AC88" s="84"/>
      <c r="AD88" s="67"/>
      <c r="AE88" s="67"/>
      <c r="AF88" s="67"/>
      <c r="AG88" s="67"/>
      <c r="AH88" s="67"/>
      <c r="AI88" s="67"/>
    </row>
    <row r="89" spans="1:35" x14ac:dyDescent="0.25">
      <c r="A89" s="39" t="s">
        <v>80</v>
      </c>
      <c r="B89" s="40"/>
      <c r="C89" s="42">
        <f>SIN(C88*PI()/180)*C66*-1</f>
        <v>0</v>
      </c>
      <c r="D89" s="35" t="s">
        <v>15</v>
      </c>
      <c r="E89" s="35"/>
      <c r="G89" s="49"/>
      <c r="H89" s="49"/>
      <c r="I89" s="49"/>
      <c r="J89" s="49"/>
      <c r="K89" s="49"/>
      <c r="L89" s="58" t="s">
        <v>47</v>
      </c>
      <c r="M89" s="53"/>
      <c r="N89" s="60">
        <f>C67+N80+N83+N84</f>
        <v>0.36650338477229072</v>
      </c>
      <c r="O89" s="49" t="s">
        <v>15</v>
      </c>
      <c r="P89" s="49"/>
      <c r="Q89" s="49"/>
      <c r="R89" s="49"/>
      <c r="S89" s="49"/>
      <c r="T89" s="49"/>
      <c r="V89" s="67"/>
      <c r="W89" s="67"/>
      <c r="X89" s="67"/>
      <c r="Y89" s="67"/>
      <c r="Z89" s="67"/>
      <c r="AA89" s="77" t="s">
        <v>47</v>
      </c>
      <c r="AB89" s="68"/>
      <c r="AC89" s="79">
        <f>C67+AC80+AC83+AC84</f>
        <v>-0.51823393290292152</v>
      </c>
      <c r="AD89" s="67" t="s">
        <v>15</v>
      </c>
      <c r="AE89" s="67"/>
      <c r="AF89" s="67"/>
      <c r="AG89" s="67"/>
      <c r="AH89" s="67"/>
      <c r="AI89" s="67"/>
    </row>
    <row r="90" spans="1:35" x14ac:dyDescent="0.25">
      <c r="A90" s="39" t="s">
        <v>14</v>
      </c>
      <c r="B90" s="40"/>
      <c r="C90" s="42">
        <f>COS(C88*PI()/180)*C66</f>
        <v>0</v>
      </c>
      <c r="D90" s="35" t="s">
        <v>15</v>
      </c>
      <c r="E90" s="35"/>
      <c r="G90" s="49"/>
      <c r="H90" s="49"/>
      <c r="I90" s="49"/>
      <c r="J90" s="49"/>
      <c r="K90" s="49"/>
      <c r="L90" s="61" t="s">
        <v>48</v>
      </c>
      <c r="M90" s="62"/>
      <c r="N90" s="63">
        <f>N85-N86</f>
        <v>-11.334966152277092</v>
      </c>
      <c r="O90" s="49" t="s">
        <v>15</v>
      </c>
      <c r="P90" s="49"/>
      <c r="Q90" s="49"/>
      <c r="R90" s="49"/>
      <c r="S90" s="49"/>
      <c r="T90" s="49"/>
      <c r="V90" s="67"/>
      <c r="W90" s="67"/>
      <c r="X90" s="67"/>
      <c r="Y90" s="67"/>
      <c r="Z90" s="67"/>
      <c r="AA90" s="80" t="s">
        <v>48</v>
      </c>
      <c r="AB90" s="81"/>
      <c r="AC90" s="82">
        <f>AC85-AC86</f>
        <v>-20.182339329029212</v>
      </c>
      <c r="AD90" s="67" t="s">
        <v>15</v>
      </c>
      <c r="AE90" s="67"/>
      <c r="AF90" s="67"/>
      <c r="AG90" s="67"/>
      <c r="AH90" s="67"/>
      <c r="AI90" s="67"/>
    </row>
    <row r="91" spans="1:35" x14ac:dyDescent="0.25">
      <c r="A91" s="39"/>
      <c r="B91" s="40"/>
      <c r="C91" s="47"/>
      <c r="D91" s="35"/>
      <c r="E91" s="35"/>
      <c r="G91" s="49"/>
      <c r="H91" s="49"/>
      <c r="I91" s="49"/>
      <c r="J91" s="49"/>
      <c r="K91" s="49"/>
      <c r="L91" s="49"/>
      <c r="M91" s="49"/>
      <c r="N91" s="49"/>
      <c r="O91" s="49"/>
      <c r="P91" s="49"/>
      <c r="Q91" s="49"/>
      <c r="R91" s="49"/>
      <c r="S91" s="49"/>
      <c r="T91" s="49"/>
      <c r="V91" s="67"/>
      <c r="W91" s="67"/>
      <c r="X91" s="67"/>
      <c r="Y91" s="67"/>
      <c r="Z91" s="67"/>
      <c r="AA91" s="67"/>
      <c r="AB91" s="67"/>
      <c r="AC91" s="67"/>
      <c r="AD91" s="67"/>
      <c r="AE91" s="67"/>
      <c r="AF91" s="67"/>
      <c r="AG91" s="67"/>
      <c r="AH91" s="67"/>
      <c r="AI91" s="67"/>
    </row>
    <row r="92" spans="1:35" x14ac:dyDescent="0.25">
      <c r="A92" s="39" t="s">
        <v>47</v>
      </c>
      <c r="B92" s="40"/>
      <c r="C92" s="42">
        <f>C67+C86+C89/2</f>
        <v>1.5</v>
      </c>
      <c r="D92" s="35" t="s">
        <v>15</v>
      </c>
      <c r="E92" s="35"/>
      <c r="G92" s="49"/>
      <c r="H92" s="49"/>
      <c r="I92" s="49"/>
      <c r="J92" s="49"/>
      <c r="K92" s="49"/>
      <c r="L92" s="55" t="s">
        <v>34</v>
      </c>
      <c r="M92" s="56"/>
      <c r="N92" s="57"/>
      <c r="O92" s="49"/>
      <c r="P92" s="49"/>
      <c r="Q92" s="49"/>
      <c r="R92" s="49"/>
      <c r="S92" s="49"/>
      <c r="T92" s="49"/>
      <c r="V92" s="67"/>
      <c r="W92" s="67"/>
      <c r="X92" s="67"/>
      <c r="Y92" s="67"/>
      <c r="Z92" s="67"/>
      <c r="AA92" s="74" t="s">
        <v>34</v>
      </c>
      <c r="AB92" s="75"/>
      <c r="AC92" s="76"/>
      <c r="AD92" s="67"/>
      <c r="AE92" s="67"/>
      <c r="AF92" s="67"/>
      <c r="AG92" s="67"/>
      <c r="AH92" s="67"/>
      <c r="AI92" s="67"/>
    </row>
    <row r="93" spans="1:35" x14ac:dyDescent="0.25">
      <c r="A93" s="43" t="s">
        <v>48</v>
      </c>
      <c r="B93" s="44"/>
      <c r="C93" s="45">
        <f>C90/2</f>
        <v>0</v>
      </c>
      <c r="D93" s="35" t="s">
        <v>15</v>
      </c>
      <c r="E93" s="35"/>
      <c r="G93" s="49"/>
      <c r="H93" s="49"/>
      <c r="I93" s="49"/>
      <c r="J93" s="49"/>
      <c r="K93" s="49"/>
      <c r="L93" s="58" t="s">
        <v>78</v>
      </c>
      <c r="M93" s="53"/>
      <c r="N93" s="59">
        <f>C86</f>
        <v>1.5</v>
      </c>
      <c r="O93" s="49"/>
      <c r="P93" s="49"/>
      <c r="Q93" s="49"/>
      <c r="R93" s="49"/>
      <c r="S93" s="49"/>
      <c r="T93" s="49"/>
      <c r="V93" s="67"/>
      <c r="W93" s="67"/>
      <c r="X93" s="67"/>
      <c r="Y93" s="67"/>
      <c r="Z93" s="67"/>
      <c r="AA93" s="77" t="s">
        <v>78</v>
      </c>
      <c r="AB93" s="68"/>
      <c r="AC93" s="78">
        <f>C86</f>
        <v>1.5</v>
      </c>
      <c r="AD93" s="67"/>
      <c r="AE93" s="67"/>
      <c r="AF93" s="67"/>
      <c r="AG93" s="67"/>
      <c r="AH93" s="67"/>
      <c r="AI93" s="67"/>
    </row>
    <row r="94" spans="1:35" x14ac:dyDescent="0.25">
      <c r="G94" s="49"/>
      <c r="H94" s="49"/>
      <c r="I94" s="49"/>
      <c r="J94" s="49"/>
      <c r="K94" s="49"/>
      <c r="L94" s="58" t="s">
        <v>79</v>
      </c>
      <c r="M94" s="53"/>
      <c r="N94" s="60">
        <f>C87</f>
        <v>0.1</v>
      </c>
      <c r="O94" s="49"/>
      <c r="P94" s="49"/>
      <c r="Q94" s="49"/>
      <c r="R94" s="49"/>
      <c r="S94" s="49"/>
      <c r="T94" s="49"/>
      <c r="V94" s="67"/>
      <c r="W94" s="67"/>
      <c r="X94" s="67"/>
      <c r="Y94" s="67"/>
      <c r="Z94" s="67"/>
      <c r="AA94" s="77" t="s">
        <v>79</v>
      </c>
      <c r="AB94" s="68"/>
      <c r="AC94" s="79">
        <f>C87</f>
        <v>0.1</v>
      </c>
      <c r="AD94" s="67"/>
      <c r="AE94" s="67"/>
      <c r="AF94" s="67"/>
      <c r="AG94" s="67"/>
      <c r="AH94" s="67"/>
      <c r="AI94" s="67"/>
    </row>
    <row r="95" spans="1:35" x14ac:dyDescent="0.25">
      <c r="G95" s="49"/>
      <c r="H95" s="49"/>
      <c r="I95" s="49"/>
      <c r="J95" s="49"/>
      <c r="K95" s="49"/>
      <c r="L95" s="58" t="s">
        <v>5</v>
      </c>
      <c r="M95" s="53"/>
      <c r="N95" s="60">
        <f>C88</f>
        <v>5.710593137499643</v>
      </c>
      <c r="O95" s="49"/>
      <c r="P95" s="49"/>
      <c r="Q95" s="49"/>
      <c r="R95" s="49"/>
      <c r="S95" s="49"/>
      <c r="T95" s="49"/>
      <c r="V95" s="67"/>
      <c r="W95" s="67"/>
      <c r="X95" s="67"/>
      <c r="Y95" s="67"/>
      <c r="Z95" s="67"/>
      <c r="AA95" s="77" t="s">
        <v>5</v>
      </c>
      <c r="AB95" s="68"/>
      <c r="AC95" s="79">
        <f>C88</f>
        <v>5.710593137499643</v>
      </c>
      <c r="AD95" s="67"/>
      <c r="AE95" s="67"/>
      <c r="AF95" s="67"/>
      <c r="AG95" s="67"/>
      <c r="AH95" s="67"/>
      <c r="AI95" s="67"/>
    </row>
    <row r="96" spans="1:35" x14ac:dyDescent="0.25">
      <c r="G96" s="49"/>
      <c r="H96" s="49"/>
      <c r="I96" s="49"/>
      <c r="J96" s="49"/>
      <c r="K96" s="49"/>
      <c r="L96" s="58" t="s">
        <v>93</v>
      </c>
      <c r="M96" s="53"/>
      <c r="N96" s="60">
        <f>SIN(N95*PI()/180)*N70*-1</f>
        <v>1.1334966152277093</v>
      </c>
      <c r="O96" s="49" t="s">
        <v>15</v>
      </c>
      <c r="P96" s="49" t="s">
        <v>97</v>
      </c>
      <c r="Q96" s="49"/>
      <c r="R96" s="49"/>
      <c r="S96" s="49"/>
      <c r="T96" s="49"/>
      <c r="V96" s="67"/>
      <c r="W96" s="67"/>
      <c r="X96" s="67"/>
      <c r="Y96" s="67"/>
      <c r="Z96" s="67"/>
      <c r="AA96" s="77" t="s">
        <v>93</v>
      </c>
      <c r="AB96" s="68"/>
      <c r="AC96" s="79">
        <f>SIN(AC95*PI()/180)*AC77*-1</f>
        <v>2.0182339329029215</v>
      </c>
      <c r="AD96" s="67" t="s">
        <v>15</v>
      </c>
      <c r="AE96" s="67"/>
      <c r="AF96" s="67"/>
      <c r="AG96" s="67"/>
      <c r="AH96" s="67"/>
      <c r="AI96" s="67"/>
    </row>
    <row r="97" spans="7:35" x14ac:dyDescent="0.25">
      <c r="G97" s="49"/>
      <c r="H97" s="49"/>
      <c r="I97" s="49"/>
      <c r="J97" s="49"/>
      <c r="K97" s="49"/>
      <c r="L97" s="58"/>
      <c r="M97" s="53" t="s">
        <v>94</v>
      </c>
      <c r="N97" s="65">
        <f>COS(N95*PI()/180)*K45</f>
        <v>0</v>
      </c>
      <c r="O97" s="49" t="s">
        <v>15</v>
      </c>
      <c r="P97" s="49" t="s">
        <v>99</v>
      </c>
      <c r="Q97" s="49"/>
      <c r="R97" s="49"/>
      <c r="S97" s="49"/>
      <c r="T97" s="49"/>
      <c r="V97" s="67"/>
      <c r="W97" s="67"/>
      <c r="X97" s="67"/>
      <c r="Y97" s="67"/>
      <c r="Z97" s="67"/>
      <c r="AA97" s="77"/>
      <c r="AB97" s="68" t="s">
        <v>94</v>
      </c>
      <c r="AC97" s="84">
        <f>COS(AC95*PI()/180)*K45</f>
        <v>0</v>
      </c>
      <c r="AD97" s="67" t="s">
        <v>15</v>
      </c>
      <c r="AE97" s="67"/>
      <c r="AF97" s="67"/>
      <c r="AG97" s="67"/>
      <c r="AH97" s="67"/>
      <c r="AI97" s="67"/>
    </row>
    <row r="98" spans="7:35" x14ac:dyDescent="0.25">
      <c r="G98" s="49"/>
      <c r="H98" s="49"/>
      <c r="I98" s="49"/>
      <c r="J98" s="49"/>
      <c r="K98" s="49"/>
      <c r="L98" s="58" t="s">
        <v>96</v>
      </c>
      <c r="M98" s="53"/>
      <c r="N98" s="59">
        <f>COS(N95*PI()/180)*N70</f>
        <v>-11.334966152277092</v>
      </c>
      <c r="O98" s="49" t="s">
        <v>15</v>
      </c>
      <c r="P98" s="49" t="s">
        <v>98</v>
      </c>
      <c r="Q98" s="49"/>
      <c r="R98" s="49"/>
      <c r="S98" s="49"/>
      <c r="T98" s="49"/>
      <c r="V98" s="67"/>
      <c r="W98" s="67"/>
      <c r="X98" s="67"/>
      <c r="Y98" s="67"/>
      <c r="Z98" s="67"/>
      <c r="AA98" s="77" t="s">
        <v>96</v>
      </c>
      <c r="AB98" s="68"/>
      <c r="AC98" s="78">
        <f>COS(AC95*PI()/180)*AC77</f>
        <v>-20.182339329029212</v>
      </c>
      <c r="AD98" s="67" t="s">
        <v>15</v>
      </c>
      <c r="AE98" s="67"/>
      <c r="AF98" s="67"/>
      <c r="AG98" s="67"/>
      <c r="AH98" s="67"/>
      <c r="AI98" s="67"/>
    </row>
    <row r="99" spans="7:35" x14ac:dyDescent="0.25">
      <c r="G99" s="49"/>
      <c r="H99" s="49"/>
      <c r="I99" s="49"/>
      <c r="J99" s="49"/>
      <c r="K99" s="49"/>
      <c r="L99" s="58"/>
      <c r="M99" s="53" t="s">
        <v>95</v>
      </c>
      <c r="N99" s="65">
        <f>SIN(N95*PI()/180)*K45</f>
        <v>0</v>
      </c>
      <c r="O99" s="49" t="s">
        <v>15</v>
      </c>
      <c r="P99" s="49" t="s">
        <v>101</v>
      </c>
      <c r="Q99" s="49"/>
      <c r="R99" s="49"/>
      <c r="S99" s="49"/>
      <c r="T99" s="49"/>
      <c r="V99" s="67"/>
      <c r="W99" s="67"/>
      <c r="X99" s="67"/>
      <c r="Y99" s="67"/>
      <c r="Z99" s="67"/>
      <c r="AA99" s="77"/>
      <c r="AB99" s="68" t="s">
        <v>95</v>
      </c>
      <c r="AC99" s="85">
        <f>SIN(AC95*PI()/180)*K45</f>
        <v>0</v>
      </c>
      <c r="AD99" s="67" t="s">
        <v>15</v>
      </c>
      <c r="AE99" s="67"/>
      <c r="AF99" s="67"/>
      <c r="AG99" s="67"/>
      <c r="AH99" s="67"/>
      <c r="AI99" s="67"/>
    </row>
    <row r="100" spans="7:35" x14ac:dyDescent="0.25">
      <c r="G100" s="49"/>
      <c r="H100" s="49"/>
      <c r="I100" s="49"/>
      <c r="J100" s="49"/>
      <c r="K100" s="49"/>
      <c r="L100" s="58"/>
      <c r="M100" s="53"/>
      <c r="N100" s="65"/>
      <c r="O100" s="49"/>
      <c r="P100" s="49"/>
      <c r="Q100" s="49"/>
      <c r="R100" s="49"/>
      <c r="S100" s="49"/>
      <c r="T100" s="49"/>
      <c r="V100" s="67"/>
      <c r="W100" s="67"/>
      <c r="X100" s="67"/>
      <c r="Y100" s="67"/>
      <c r="Z100" s="67"/>
      <c r="AA100" s="77"/>
      <c r="AB100" s="68"/>
      <c r="AC100" s="84"/>
      <c r="AD100" s="67"/>
      <c r="AE100" s="67"/>
      <c r="AF100" s="67"/>
      <c r="AG100" s="67"/>
      <c r="AH100" s="67"/>
      <c r="AI100" s="67"/>
    </row>
    <row r="101" spans="7:35" x14ac:dyDescent="0.25">
      <c r="G101" s="49"/>
      <c r="H101" s="49"/>
      <c r="I101" s="49"/>
      <c r="J101" s="49"/>
      <c r="K101" s="49"/>
      <c r="L101" s="58"/>
      <c r="M101" s="53"/>
      <c r="N101" s="65"/>
      <c r="O101" s="49"/>
      <c r="P101" s="49"/>
      <c r="Q101" s="49"/>
      <c r="R101" s="49"/>
      <c r="S101" s="49"/>
      <c r="T101" s="49"/>
      <c r="V101" s="67"/>
      <c r="W101" s="67"/>
      <c r="X101" s="67"/>
      <c r="Y101" s="67"/>
      <c r="Z101" s="67"/>
      <c r="AA101" s="77"/>
      <c r="AB101" s="68"/>
      <c r="AC101" s="84"/>
      <c r="AD101" s="67"/>
      <c r="AE101" s="67"/>
      <c r="AF101" s="67"/>
      <c r="AG101" s="67"/>
      <c r="AH101" s="67"/>
      <c r="AI101" s="67"/>
    </row>
    <row r="102" spans="7:35" x14ac:dyDescent="0.25">
      <c r="G102" s="49"/>
      <c r="H102" s="49"/>
      <c r="I102" s="49"/>
      <c r="J102" s="49"/>
      <c r="K102" s="49"/>
      <c r="L102" s="58" t="s">
        <v>47</v>
      </c>
      <c r="M102" s="53"/>
      <c r="N102" s="60">
        <f>C67+N93+N96+N97</f>
        <v>2.6334966152277093</v>
      </c>
      <c r="O102" s="49" t="s">
        <v>15</v>
      </c>
      <c r="P102" s="49"/>
      <c r="Q102" s="49"/>
      <c r="R102" s="49"/>
      <c r="S102" s="49"/>
      <c r="T102" s="49"/>
      <c r="V102" s="67"/>
      <c r="W102" s="67"/>
      <c r="X102" s="67"/>
      <c r="Y102" s="67"/>
      <c r="Z102" s="67"/>
      <c r="AA102" s="77" t="s">
        <v>47</v>
      </c>
      <c r="AB102" s="68"/>
      <c r="AC102" s="79">
        <f>C67+AC93+AC96+AC97</f>
        <v>3.5182339329029215</v>
      </c>
      <c r="AD102" s="67" t="s">
        <v>15</v>
      </c>
      <c r="AE102" s="67"/>
      <c r="AF102" s="67"/>
      <c r="AG102" s="67"/>
      <c r="AH102" s="67"/>
      <c r="AI102" s="67"/>
    </row>
    <row r="103" spans="7:35" x14ac:dyDescent="0.25">
      <c r="G103" s="49"/>
      <c r="H103" s="49"/>
      <c r="I103" s="49"/>
      <c r="J103" s="49"/>
      <c r="K103" s="49"/>
      <c r="L103" s="61" t="s">
        <v>48</v>
      </c>
      <c r="M103" s="62"/>
      <c r="N103" s="63">
        <f>N98+N99</f>
        <v>-11.334966152277092</v>
      </c>
      <c r="O103" s="49" t="s">
        <v>15</v>
      </c>
      <c r="P103" s="49"/>
      <c r="Q103" s="49"/>
      <c r="R103" s="49"/>
      <c r="S103" s="49"/>
      <c r="T103" s="49"/>
      <c r="V103" s="67"/>
      <c r="W103" s="67"/>
      <c r="X103" s="67"/>
      <c r="Y103" s="67"/>
      <c r="Z103" s="67"/>
      <c r="AA103" s="80" t="s">
        <v>48</v>
      </c>
      <c r="AB103" s="81"/>
      <c r="AC103" s="82">
        <f>AC98+AC99</f>
        <v>-20.182339329029212</v>
      </c>
      <c r="AD103" s="67" t="s">
        <v>15</v>
      </c>
      <c r="AE103" s="67"/>
      <c r="AF103" s="67"/>
      <c r="AG103" s="67"/>
      <c r="AH103" s="67"/>
      <c r="AI103" s="67"/>
    </row>
  </sheetData>
  <dataValidations count="4">
    <dataValidation type="list" allowBlank="1" showInputMessage="1" showErrorMessage="1" sqref="AM43 K2 K44" xr:uid="{0456BA51-D359-46CD-9B0A-3C203A313EF2}">
      <formula1>$AP$1:$AP$2</formula1>
    </dataValidation>
    <dataValidation type="list" allowBlank="1" showInputMessage="1" showErrorMessage="1" sqref="D6 K15 K42 K33 K24 D36 D21" xr:uid="{0A4AA32F-B537-450E-BDA5-C4CA325DBA88}">
      <formula1>$AL$1:$AL$2</formula1>
    </dataValidation>
    <dataValidation type="list" allowBlank="1" showInputMessage="1" showErrorMessage="1" sqref="D37" xr:uid="{BE5E4D9A-8BE8-4B90-A82B-E2367E0EAB49}">
      <formula1>$AN$1:$AN$3</formula1>
    </dataValidation>
    <dataValidation type="list" allowBlank="1" showInputMessage="1" showErrorMessage="1" sqref="K1" xr:uid="{FC008F84-429C-4B27-A721-CA9DF8183507}">
      <formula1>$AR$1:$AR$4</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0B0F5DF6-276E-42C9-A4F2-16453E74EF13}">
          <x14:formula1>
            <xm:f>'Hulpblad kranen'!$D$1:$AA$1</xm:f>
          </x14:formula1>
          <xm:sqref>D1</xm:sqref>
        </x14:dataValidation>
        <x14:dataValidation type="list" allowBlank="1" showInputMessage="1" showErrorMessage="1" xr:uid="{3EF0C0A1-0A83-4907-8E9E-6E8C0B871CF3}">
          <x14:formula1>
            <xm:f>'Hulpblad schotten'!$A$3:$A$26</xm:f>
          </x14:formula1>
          <xm:sqref>K16</xm:sqref>
        </x14:dataValidation>
        <x14:dataValidation type="list" allowBlank="1" showInputMessage="1" showErrorMessage="1" xr:uid="{233C31CF-9245-4B93-838C-911C5BD28AC8}">
          <x14:formula1>
            <xm:f>'Hulpblad blokken'!$A$7:$A$68</xm:f>
          </x14:formula1>
          <xm:sqref>K43</xm:sqref>
        </x14:dataValidation>
        <x14:dataValidation type="list" allowBlank="1" showInputMessage="1" showErrorMessage="1" xr:uid="{2F11D1D9-CD25-4873-980E-E4120C9337C4}">
          <x14:formula1>
            <xm:f>'Hulpblad blokken'!$A$4:$A$66</xm:f>
          </x14:formula1>
          <xm:sqref>AM42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4E8E-8226-4C04-BF86-C090FBF2E193}">
  <sheetPr>
    <tabColor rgb="FF0061AD"/>
  </sheetPr>
  <dimension ref="A1:AL47"/>
  <sheetViews>
    <sheetView zoomScale="85" zoomScaleNormal="85" workbookViewId="0">
      <selection activeCell="E4" sqref="E4"/>
    </sheetView>
  </sheetViews>
  <sheetFormatPr defaultRowHeight="15" x14ac:dyDescent="0.25"/>
  <cols>
    <col min="1" max="1" width="15.7109375" style="250" customWidth="1"/>
    <col min="2" max="2" width="12" style="250" customWidth="1"/>
    <col min="3" max="16384" width="9.140625" style="250"/>
  </cols>
  <sheetData>
    <row r="1" spans="1:38" x14ac:dyDescent="0.25">
      <c r="A1" s="402" t="s">
        <v>106</v>
      </c>
    </row>
    <row r="2" spans="1:38" ht="17.25" x14ac:dyDescent="0.25">
      <c r="A2" s="250" t="s">
        <v>107</v>
      </c>
      <c r="E2" s="403">
        <v>0.25</v>
      </c>
      <c r="F2" s="250" t="s">
        <v>104</v>
      </c>
      <c r="Y2" s="250" t="s">
        <v>403</v>
      </c>
      <c r="AG2" s="254">
        <f>COS(E3*PI()/180)</f>
        <v>0.34202014332566882</v>
      </c>
      <c r="AH2" s="254">
        <f>SIN(E3*PI()/180)</f>
        <v>0.93969262078590832</v>
      </c>
      <c r="AJ2" s="250" t="s">
        <v>406</v>
      </c>
      <c r="AK2" s="250">
        <f>E3</f>
        <v>70</v>
      </c>
    </row>
    <row r="3" spans="1:38" x14ac:dyDescent="0.25">
      <c r="A3" s="250" t="s">
        <v>410</v>
      </c>
      <c r="E3" s="403">
        <v>70</v>
      </c>
      <c r="F3" s="250" t="s">
        <v>28</v>
      </c>
      <c r="AG3" s="254"/>
      <c r="AH3" s="254"/>
      <c r="AJ3" s="250" t="s">
        <v>407</v>
      </c>
      <c r="AK3" s="250">
        <f>E4</f>
        <v>0</v>
      </c>
    </row>
    <row r="4" spans="1:38" x14ac:dyDescent="0.25">
      <c r="A4" s="250" t="s">
        <v>161</v>
      </c>
      <c r="E4" s="403">
        <v>0</v>
      </c>
      <c r="F4" s="250" t="s">
        <v>28</v>
      </c>
      <c r="AG4" s="254"/>
      <c r="AH4" s="254">
        <f>SIN(E5*PI()/180)</f>
        <v>0.93969262078590832</v>
      </c>
      <c r="AJ4" s="250" t="s">
        <v>408</v>
      </c>
      <c r="AK4" s="250">
        <f>AK2+AK3</f>
        <v>70</v>
      </c>
      <c r="AL4" s="250">
        <f>IF(AK4&gt;90,180-AK4,AK4)</f>
        <v>70</v>
      </c>
    </row>
    <row r="5" spans="1:38" x14ac:dyDescent="0.25">
      <c r="A5" s="250" t="s">
        <v>411</v>
      </c>
      <c r="E5" s="459">
        <f>AL4</f>
        <v>70</v>
      </c>
      <c r="F5" s="250" t="s">
        <v>28</v>
      </c>
      <c r="AG5" s="254"/>
      <c r="AH5" s="254">
        <f>SIN(E6*PI()/180)</f>
        <v>0.34202014332566871</v>
      </c>
      <c r="AJ5" s="250" t="s">
        <v>409</v>
      </c>
      <c r="AK5" s="250">
        <f>90-AK2-AK3</f>
        <v>20</v>
      </c>
      <c r="AL5" s="250">
        <f>ABS(AK5)</f>
        <v>20</v>
      </c>
    </row>
    <row r="6" spans="1:38" x14ac:dyDescent="0.25">
      <c r="A6" s="250" t="s">
        <v>412</v>
      </c>
      <c r="E6" s="459">
        <f>AL5</f>
        <v>20</v>
      </c>
      <c r="F6" s="250" t="s">
        <v>28</v>
      </c>
    </row>
    <row r="8" spans="1:38" x14ac:dyDescent="0.25">
      <c r="A8" s="402" t="s">
        <v>108</v>
      </c>
    </row>
    <row r="9" spans="1:38" x14ac:dyDescent="0.25">
      <c r="S9" s="404"/>
      <c r="T9" s="404"/>
      <c r="U9" s="404"/>
      <c r="V9" s="404"/>
      <c r="W9" s="404"/>
      <c r="X9" s="404"/>
      <c r="Y9" s="404"/>
      <c r="Z9" s="404"/>
      <c r="AA9" s="404"/>
      <c r="AB9" s="404"/>
    </row>
    <row r="10" spans="1:38" ht="15.75" thickBot="1" x14ac:dyDescent="0.3">
      <c r="S10" s="404"/>
      <c r="T10" s="404"/>
      <c r="U10" s="404"/>
      <c r="V10" s="404"/>
      <c r="W10" s="404"/>
      <c r="X10" s="404"/>
      <c r="Y10" s="404"/>
      <c r="Z10" s="404"/>
      <c r="AA10" s="404"/>
      <c r="AB10" s="404"/>
    </row>
    <row r="11" spans="1:38" ht="18" x14ac:dyDescent="0.35">
      <c r="C11" s="405" t="s">
        <v>109</v>
      </c>
      <c r="D11" s="406" t="s">
        <v>110</v>
      </c>
      <c r="E11" s="406" t="s">
        <v>113</v>
      </c>
      <c r="F11" s="407" t="s">
        <v>114</v>
      </c>
      <c r="G11" s="405" t="s">
        <v>115</v>
      </c>
      <c r="H11" s="406" t="s">
        <v>95</v>
      </c>
      <c r="I11" s="407" t="s">
        <v>117</v>
      </c>
      <c r="J11" s="405" t="s">
        <v>118</v>
      </c>
      <c r="K11" s="406" t="s">
        <v>119</v>
      </c>
      <c r="L11" s="406" t="s">
        <v>120</v>
      </c>
      <c r="M11" s="406" t="s">
        <v>121</v>
      </c>
      <c r="N11" s="406" t="s">
        <v>122</v>
      </c>
      <c r="O11" s="407" t="s">
        <v>123</v>
      </c>
      <c r="S11" s="404"/>
      <c r="T11" s="408"/>
      <c r="U11" s="409"/>
      <c r="V11" s="409"/>
      <c r="W11" s="409"/>
      <c r="X11" s="409"/>
      <c r="Y11" s="409"/>
      <c r="Z11" s="409"/>
      <c r="AA11" s="410"/>
      <c r="AB11" s="404"/>
    </row>
    <row r="12" spans="1:38" ht="18" thickBot="1" x14ac:dyDescent="0.3">
      <c r="C12" s="411" t="s">
        <v>12</v>
      </c>
      <c r="D12" s="412" t="s">
        <v>12</v>
      </c>
      <c r="E12" s="412" t="s">
        <v>19</v>
      </c>
      <c r="F12" s="413" t="s">
        <v>19</v>
      </c>
      <c r="G12" s="411" t="s">
        <v>116</v>
      </c>
      <c r="H12" s="414"/>
      <c r="I12" s="415"/>
      <c r="J12" s="411" t="s">
        <v>12</v>
      </c>
      <c r="K12" s="412" t="s">
        <v>12</v>
      </c>
      <c r="L12" s="412" t="s">
        <v>12</v>
      </c>
      <c r="M12" s="412" t="s">
        <v>131</v>
      </c>
      <c r="N12" s="412" t="s">
        <v>131</v>
      </c>
      <c r="O12" s="413" t="s">
        <v>131</v>
      </c>
      <c r="S12" s="404"/>
      <c r="T12" s="416"/>
      <c r="U12" s="417"/>
      <c r="V12" s="417"/>
      <c r="W12" s="417"/>
      <c r="X12" s="417"/>
      <c r="Y12" s="417"/>
      <c r="Z12" s="417"/>
      <c r="AA12" s="418"/>
      <c r="AB12" s="404"/>
    </row>
    <row r="13" spans="1:38" x14ac:dyDescent="0.25">
      <c r="A13" s="419" t="s">
        <v>13</v>
      </c>
      <c r="B13" s="420" t="s">
        <v>111</v>
      </c>
      <c r="C13" s="421">
        <f>'Invoer 1 - Kraangegevens'!R4</f>
        <v>233</v>
      </c>
      <c r="D13" s="420"/>
      <c r="E13" s="420"/>
      <c r="F13" s="422"/>
      <c r="G13" s="421">
        <v>0</v>
      </c>
      <c r="H13" s="423">
        <v>1.2</v>
      </c>
      <c r="I13" s="424">
        <f>'Invoer 1 - Kraangegevens'!S4</f>
        <v>0</v>
      </c>
      <c r="J13" s="460">
        <f t="shared" ref="J13:J28" si="0">C13*H13</f>
        <v>279.59999999999997</v>
      </c>
      <c r="K13" s="461">
        <f>E13*G13*H13*$E$2*$AG$2</f>
        <v>0</v>
      </c>
      <c r="L13" s="461">
        <f>F13*G13*H13*$E$2*$AH$2</f>
        <v>0</v>
      </c>
      <c r="M13" s="461">
        <f t="shared" ref="M13:M28" si="1">I13*J13</f>
        <v>0</v>
      </c>
      <c r="N13" s="461">
        <f t="shared" ref="N13:N28" si="2">I13*K13</f>
        <v>0</v>
      </c>
      <c r="O13" s="462">
        <f t="shared" ref="O13:O28" si="3">I13*L13</f>
        <v>0</v>
      </c>
      <c r="S13" s="404"/>
      <c r="T13" s="408"/>
      <c r="U13" s="409"/>
      <c r="V13" s="409"/>
      <c r="W13" s="409"/>
      <c r="X13" s="409"/>
      <c r="Y13" s="409"/>
      <c r="Z13" s="409"/>
      <c r="AA13" s="410"/>
      <c r="AB13" s="404"/>
    </row>
    <row r="14" spans="1:38" x14ac:dyDescent="0.25">
      <c r="A14" s="425"/>
      <c r="B14" s="426" t="s">
        <v>112</v>
      </c>
      <c r="C14" s="427"/>
      <c r="D14" s="426"/>
      <c r="E14" s="428">
        <f>'Invoer 1 - Kraangegevens'!U4</f>
        <v>4.75</v>
      </c>
      <c r="F14" s="429">
        <f>'Invoer 1 - Kraangegevens'!V4</f>
        <v>5.72</v>
      </c>
      <c r="G14" s="427">
        <v>1.3</v>
      </c>
      <c r="H14" s="430">
        <v>1.5</v>
      </c>
      <c r="I14" s="429">
        <f>'Invoer 1 - Kraangegevens'!T4</f>
        <v>0.54800000000000004</v>
      </c>
      <c r="J14" s="463">
        <f t="shared" si="0"/>
        <v>0</v>
      </c>
      <c r="K14" s="464">
        <f>E14*G14*H14*$E$2*$AG$2</f>
        <v>0.79199039438850183</v>
      </c>
      <c r="L14" s="464">
        <f>F14*G14*H14*$E$2*$AH$2</f>
        <v>2.6203328730615052</v>
      </c>
      <c r="M14" s="464">
        <f t="shared" si="1"/>
        <v>0</v>
      </c>
      <c r="N14" s="464">
        <f t="shared" si="2"/>
        <v>0.43401073612489904</v>
      </c>
      <c r="O14" s="465">
        <f t="shared" si="3"/>
        <v>1.4359424144377049</v>
      </c>
      <c r="S14" s="404"/>
      <c r="T14" s="416"/>
      <c r="U14" s="417"/>
      <c r="V14" s="417"/>
      <c r="W14" s="417"/>
      <c r="X14" s="417"/>
      <c r="Y14" s="417"/>
      <c r="Z14" s="417"/>
      <c r="AA14" s="418"/>
      <c r="AB14" s="404"/>
    </row>
    <row r="15" spans="1:38" x14ac:dyDescent="0.25">
      <c r="A15" s="434" t="s">
        <v>18</v>
      </c>
      <c r="B15" s="435" t="s">
        <v>111</v>
      </c>
      <c r="C15" s="278">
        <f>'Invoer 1 - Kraangegevens'!R5</f>
        <v>467</v>
      </c>
      <c r="D15" s="435"/>
      <c r="E15" s="435"/>
      <c r="F15" s="436"/>
      <c r="G15" s="278">
        <v>0</v>
      </c>
      <c r="H15" s="437">
        <v>1.5</v>
      </c>
      <c r="I15" s="438">
        <f>'Invoer 1 - Kraangegevens'!S5</f>
        <v>-1.35</v>
      </c>
      <c r="J15" s="466">
        <f t="shared" si="0"/>
        <v>700.5</v>
      </c>
      <c r="K15" s="467">
        <f>E15*G15*H15*$E$2*$AG$2</f>
        <v>0</v>
      </c>
      <c r="L15" s="467">
        <f>F15*G15*H15*$E$2*$AH$2</f>
        <v>0</v>
      </c>
      <c r="M15" s="467">
        <f t="shared" si="1"/>
        <v>-945.67500000000007</v>
      </c>
      <c r="N15" s="467">
        <f t="shared" si="2"/>
        <v>0</v>
      </c>
      <c r="O15" s="468">
        <f t="shared" si="3"/>
        <v>0</v>
      </c>
      <c r="S15" s="404"/>
      <c r="T15" s="408"/>
      <c r="U15" s="409"/>
      <c r="V15" s="409"/>
      <c r="W15" s="442"/>
      <c r="X15" s="409"/>
      <c r="Y15" s="442"/>
      <c r="Z15" s="443" t="s">
        <v>352</v>
      </c>
      <c r="AA15" s="410"/>
      <c r="AB15" s="404"/>
    </row>
    <row r="16" spans="1:38" x14ac:dyDescent="0.25">
      <c r="A16" s="434"/>
      <c r="B16" s="435" t="s">
        <v>112</v>
      </c>
      <c r="C16" s="278"/>
      <c r="D16" s="435"/>
      <c r="E16" s="435">
        <f>'Invoer 1 - Kraangegevens'!U5</f>
        <v>6.4</v>
      </c>
      <c r="F16" s="438">
        <f>'Invoer 1 - Kraangegevens'!V5</f>
        <v>7.5</v>
      </c>
      <c r="G16" s="278">
        <v>1.55</v>
      </c>
      <c r="H16" s="437">
        <v>1.5</v>
      </c>
      <c r="I16" s="438">
        <f>'Invoer 1 - Kraangegevens'!T5</f>
        <v>1.9</v>
      </c>
      <c r="J16" s="466">
        <f t="shared" si="0"/>
        <v>0</v>
      </c>
      <c r="K16" s="467">
        <f>E16*G16*H16*$E$2*$AH$5</f>
        <v>1.2723149331714878</v>
      </c>
      <c r="L16" s="467">
        <f>F16*G16*H16*$E$2*$AH$4</f>
        <v>4.0964725187385689</v>
      </c>
      <c r="M16" s="467">
        <f t="shared" si="1"/>
        <v>0</v>
      </c>
      <c r="N16" s="467">
        <f t="shared" si="2"/>
        <v>2.4173983730258266</v>
      </c>
      <c r="O16" s="468">
        <f t="shared" si="3"/>
        <v>7.7832977856032803</v>
      </c>
      <c r="S16" s="404"/>
      <c r="T16" s="416"/>
      <c r="U16" s="417"/>
      <c r="V16" s="417"/>
      <c r="W16" s="444"/>
      <c r="X16" s="417"/>
      <c r="Y16" s="444"/>
      <c r="Z16" s="417"/>
      <c r="AA16" s="418"/>
      <c r="AB16" s="404"/>
    </row>
    <row r="17" spans="1:29" x14ac:dyDescent="0.25">
      <c r="A17" s="425" t="s">
        <v>4</v>
      </c>
      <c r="B17" s="426" t="s">
        <v>111</v>
      </c>
      <c r="C17" s="427">
        <f>'Invoer 1 - Kraangegevens'!R6</f>
        <v>43.2</v>
      </c>
      <c r="D17" s="426"/>
      <c r="E17" s="426"/>
      <c r="F17" s="445"/>
      <c r="G17" s="427">
        <v>0</v>
      </c>
      <c r="H17" s="430">
        <v>1.5</v>
      </c>
      <c r="I17" s="429">
        <f>'Invoer 1 - Kraangegevens'!S6</f>
        <v>7.7618921878511911</v>
      </c>
      <c r="J17" s="463">
        <f t="shared" si="0"/>
        <v>64.800000000000011</v>
      </c>
      <c r="K17" s="464">
        <f>E17*G17*H17*$E$2*$AG$2</f>
        <v>0</v>
      </c>
      <c r="L17" s="464">
        <f>F17*G17*H17*$E$2*$AH$2</f>
        <v>0</v>
      </c>
      <c r="M17" s="464">
        <f t="shared" si="1"/>
        <v>502.97061377275725</v>
      </c>
      <c r="N17" s="464">
        <f t="shared" si="2"/>
        <v>0</v>
      </c>
      <c r="O17" s="465">
        <f t="shared" si="3"/>
        <v>0</v>
      </c>
      <c r="S17" s="404"/>
      <c r="T17" s="408"/>
      <c r="U17" s="409"/>
      <c r="V17" s="409"/>
      <c r="W17" s="444"/>
      <c r="X17" s="409"/>
      <c r="Y17" s="444"/>
      <c r="Z17" s="409"/>
      <c r="AA17" s="410"/>
      <c r="AB17" s="404"/>
    </row>
    <row r="18" spans="1:29" x14ac:dyDescent="0.25">
      <c r="A18" s="425"/>
      <c r="B18" s="426" t="s">
        <v>112</v>
      </c>
      <c r="C18" s="427"/>
      <c r="D18" s="426"/>
      <c r="E18" s="428">
        <f>'Invoer 1 - Kraangegevens'!U6</f>
        <v>5</v>
      </c>
      <c r="F18" s="429">
        <f>'Invoer 1 - Kraangegevens'!V6</f>
        <v>5</v>
      </c>
      <c r="G18" s="427">
        <v>1.6</v>
      </c>
      <c r="H18" s="430">
        <v>1.5</v>
      </c>
      <c r="I18" s="429">
        <f>'Invoer 1 - Kraangegevens'!T6</f>
        <v>16.248924592586398</v>
      </c>
      <c r="J18" s="463">
        <f t="shared" si="0"/>
        <v>0</v>
      </c>
      <c r="K18" s="464">
        <f>E18*G18*H18*$E$2*$AH$5</f>
        <v>1.0260604299770062</v>
      </c>
      <c r="L18" s="464">
        <f>F18*G18*H18*$E$2*$AH$4</f>
        <v>2.8190778623577248</v>
      </c>
      <c r="M18" s="464">
        <f t="shared" si="1"/>
        <v>0</v>
      </c>
      <c r="N18" s="464">
        <f t="shared" si="2"/>
        <v>16.67237855413315</v>
      </c>
      <c r="O18" s="465">
        <f t="shared" si="3"/>
        <v>45.80698360608033</v>
      </c>
      <c r="S18" s="404"/>
      <c r="T18" s="416"/>
      <c r="U18" s="417"/>
      <c r="V18" s="417"/>
      <c r="W18" s="444"/>
      <c r="X18" s="417"/>
      <c r="Y18" s="444"/>
      <c r="Z18" s="417"/>
      <c r="AA18" s="418"/>
      <c r="AB18" s="404"/>
      <c r="AC18" s="250" t="s">
        <v>415</v>
      </c>
    </row>
    <row r="19" spans="1:29" x14ac:dyDescent="0.25">
      <c r="A19" s="434" t="s">
        <v>25</v>
      </c>
      <c r="B19" s="435" t="s">
        <v>111</v>
      </c>
      <c r="C19" s="278">
        <f>'Invoer 1 - Kraangegevens'!R7</f>
        <v>0</v>
      </c>
      <c r="D19" s="435"/>
      <c r="E19" s="435"/>
      <c r="F19" s="436"/>
      <c r="G19" s="278">
        <v>0</v>
      </c>
      <c r="H19" s="437">
        <v>1.5</v>
      </c>
      <c r="I19" s="438">
        <f>'Invoer 1 - Kraangegevens'!S7</f>
        <v>0</v>
      </c>
      <c r="J19" s="466">
        <f t="shared" si="0"/>
        <v>0</v>
      </c>
      <c r="K19" s="467">
        <f>E19*G19*H19*$E$2*$AG$2</f>
        <v>0</v>
      </c>
      <c r="L19" s="467">
        <f>F19*G19*H19*$E$2*$AH$2</f>
        <v>0</v>
      </c>
      <c r="M19" s="467">
        <f t="shared" si="1"/>
        <v>0</v>
      </c>
      <c r="N19" s="467">
        <f t="shared" si="2"/>
        <v>0</v>
      </c>
      <c r="O19" s="468">
        <f t="shared" si="3"/>
        <v>0</v>
      </c>
      <c r="S19" s="404"/>
      <c r="T19" s="408"/>
      <c r="U19" s="409"/>
      <c r="V19" s="409"/>
      <c r="W19" s="444"/>
      <c r="X19" s="409"/>
      <c r="Y19" s="444"/>
      <c r="Z19" s="409"/>
      <c r="AA19" s="410"/>
      <c r="AB19" s="404"/>
    </row>
    <row r="20" spans="1:29" x14ac:dyDescent="0.25">
      <c r="A20" s="434"/>
      <c r="B20" s="435" t="s">
        <v>112</v>
      </c>
      <c r="C20" s="278"/>
      <c r="D20" s="435"/>
      <c r="E20" s="369">
        <f>'Invoer 1 - Kraangegevens'!U7</f>
        <v>0</v>
      </c>
      <c r="F20" s="438">
        <f>'Invoer 1 - Kraangegevens'!V7</f>
        <v>0</v>
      </c>
      <c r="G20" s="278">
        <v>1.6</v>
      </c>
      <c r="H20" s="437">
        <v>1.5</v>
      </c>
      <c r="I20" s="438">
        <f>'Invoer 1 - Kraangegevens'!T7</f>
        <v>0</v>
      </c>
      <c r="J20" s="466">
        <f t="shared" si="0"/>
        <v>0</v>
      </c>
      <c r="K20" s="467">
        <f>E20*G20*H20*$E$2*$AH$5</f>
        <v>0</v>
      </c>
      <c r="L20" s="467">
        <f>F20*G20*H20*$E$2*$AH$4</f>
        <v>0</v>
      </c>
      <c r="M20" s="467">
        <f t="shared" si="1"/>
        <v>0</v>
      </c>
      <c r="N20" s="467">
        <f t="shared" si="2"/>
        <v>0</v>
      </c>
      <c r="O20" s="468">
        <f t="shared" si="3"/>
        <v>0</v>
      </c>
      <c r="S20" s="404"/>
      <c r="T20" s="416"/>
      <c r="U20" s="417"/>
      <c r="V20" s="417"/>
      <c r="W20" s="444"/>
      <c r="X20" s="417"/>
      <c r="Y20" s="444"/>
      <c r="Z20" s="417"/>
      <c r="AA20" s="418"/>
      <c r="AB20" s="404"/>
    </row>
    <row r="21" spans="1:29" x14ac:dyDescent="0.25">
      <c r="A21" s="425" t="s">
        <v>6</v>
      </c>
      <c r="B21" s="426" t="s">
        <v>111</v>
      </c>
      <c r="C21" s="427">
        <f>'Invoer 1 - Kraangegevens'!R8</f>
        <v>0</v>
      </c>
      <c r="D21" s="426"/>
      <c r="E21" s="426"/>
      <c r="F21" s="445"/>
      <c r="G21" s="427">
        <v>0</v>
      </c>
      <c r="H21" s="430">
        <v>1.5</v>
      </c>
      <c r="I21" s="429">
        <f>'Invoer 1 - Kraangegevens'!S8</f>
        <v>0</v>
      </c>
      <c r="J21" s="463">
        <f t="shared" si="0"/>
        <v>0</v>
      </c>
      <c r="K21" s="464">
        <f>E21*G21*H21*$E$2*$AG$2</f>
        <v>0</v>
      </c>
      <c r="L21" s="464">
        <f>F21*G21*H21*$E$2*$AH$2</f>
        <v>0</v>
      </c>
      <c r="M21" s="464">
        <f t="shared" si="1"/>
        <v>0</v>
      </c>
      <c r="N21" s="464">
        <f t="shared" si="2"/>
        <v>0</v>
      </c>
      <c r="O21" s="465">
        <f t="shared" si="3"/>
        <v>0</v>
      </c>
      <c r="S21" s="404"/>
      <c r="T21" s="408"/>
      <c r="U21" s="409"/>
      <c r="V21" s="409"/>
      <c r="W21" s="444"/>
      <c r="X21" s="409"/>
      <c r="Y21" s="444"/>
      <c r="Z21" s="409"/>
      <c r="AA21" s="410"/>
      <c r="AB21" s="404"/>
    </row>
    <row r="22" spans="1:29" x14ac:dyDescent="0.25">
      <c r="A22" s="425"/>
      <c r="B22" s="426" t="s">
        <v>112</v>
      </c>
      <c r="C22" s="427"/>
      <c r="D22" s="426"/>
      <c r="E22" s="428">
        <f>'Invoer 1 - Kraangegevens'!U8</f>
        <v>0</v>
      </c>
      <c r="F22" s="429">
        <f>'Invoer 1 - Kraangegevens'!V8</f>
        <v>0</v>
      </c>
      <c r="G22" s="427">
        <v>1.65</v>
      </c>
      <c r="H22" s="430">
        <v>1.5</v>
      </c>
      <c r="I22" s="429">
        <f>'Invoer 1 - Kraangegevens'!T8</f>
        <v>0</v>
      </c>
      <c r="J22" s="463">
        <f t="shared" si="0"/>
        <v>0</v>
      </c>
      <c r="K22" s="464">
        <f>E22*G22*H22*$E$2*$AH$5</f>
        <v>0</v>
      </c>
      <c r="L22" s="464">
        <f>F22*G22*H22*$E$2*$AH$4</f>
        <v>0</v>
      </c>
      <c r="M22" s="464">
        <f t="shared" si="1"/>
        <v>0</v>
      </c>
      <c r="N22" s="464">
        <f t="shared" si="2"/>
        <v>0</v>
      </c>
      <c r="O22" s="465">
        <f t="shared" si="3"/>
        <v>0</v>
      </c>
      <c r="S22" s="404"/>
      <c r="T22" s="416"/>
      <c r="U22" s="417"/>
      <c r="V22" s="417"/>
      <c r="W22" s="444"/>
      <c r="X22" s="417"/>
      <c r="Y22" s="444"/>
      <c r="Z22" s="417"/>
      <c r="AA22" s="418"/>
      <c r="AB22" s="404"/>
    </row>
    <row r="23" spans="1:29" x14ac:dyDescent="0.25">
      <c r="A23" s="434" t="s">
        <v>37</v>
      </c>
      <c r="B23" s="435" t="s">
        <v>111</v>
      </c>
      <c r="C23" s="278">
        <f>'Invoer 1 - Kraangegevens'!R9</f>
        <v>0</v>
      </c>
      <c r="D23" s="435"/>
      <c r="E23" s="435"/>
      <c r="F23" s="436"/>
      <c r="G23" s="278">
        <v>0</v>
      </c>
      <c r="H23" s="437">
        <v>1.5</v>
      </c>
      <c r="I23" s="438">
        <f>'Invoer 1 - Kraangegevens'!S9</f>
        <v>0</v>
      </c>
      <c r="J23" s="466">
        <f t="shared" si="0"/>
        <v>0</v>
      </c>
      <c r="K23" s="467">
        <f>E23*G23*H23*$E$2*$AG$2</f>
        <v>0</v>
      </c>
      <c r="L23" s="467">
        <f>F23*G23*H23*$E$2*$AH$2</f>
        <v>0</v>
      </c>
      <c r="M23" s="467">
        <f t="shared" si="1"/>
        <v>0</v>
      </c>
      <c r="N23" s="467">
        <f t="shared" si="2"/>
        <v>0</v>
      </c>
      <c r="O23" s="468">
        <f t="shared" si="3"/>
        <v>0</v>
      </c>
      <c r="S23" s="404"/>
      <c r="T23" s="408"/>
      <c r="U23" s="409"/>
      <c r="V23" s="409"/>
      <c r="W23" s="444"/>
      <c r="X23" s="409"/>
      <c r="Y23" s="444"/>
      <c r="Z23" s="409"/>
      <c r="AA23" s="410"/>
      <c r="AB23" s="404"/>
    </row>
    <row r="24" spans="1:29" x14ac:dyDescent="0.25">
      <c r="A24" s="434"/>
      <c r="B24" s="435" t="s">
        <v>112</v>
      </c>
      <c r="C24" s="278"/>
      <c r="D24" s="435"/>
      <c r="E24" s="369">
        <f>'Invoer 1 - Kraangegevens'!U9</f>
        <v>0</v>
      </c>
      <c r="F24" s="438">
        <f>'Invoer 1 - Kraangegevens'!V9</f>
        <v>0</v>
      </c>
      <c r="G24" s="278">
        <v>1.4</v>
      </c>
      <c r="H24" s="437">
        <v>1.5</v>
      </c>
      <c r="I24" s="438">
        <f>'Invoer 1 - Kraangegevens'!T9</f>
        <v>0</v>
      </c>
      <c r="J24" s="466">
        <f t="shared" si="0"/>
        <v>0</v>
      </c>
      <c r="K24" s="467">
        <f>E24*G24*H24*$E$2*$AH$5</f>
        <v>0</v>
      </c>
      <c r="L24" s="467">
        <f>F24*G24*H24*$E$2*$AH$4</f>
        <v>0</v>
      </c>
      <c r="M24" s="467">
        <f t="shared" si="1"/>
        <v>0</v>
      </c>
      <c r="N24" s="467">
        <f t="shared" si="2"/>
        <v>0</v>
      </c>
      <c r="O24" s="468">
        <f t="shared" si="3"/>
        <v>0</v>
      </c>
      <c r="S24" s="404"/>
      <c r="T24" s="416"/>
      <c r="U24" s="417"/>
      <c r="V24" s="417"/>
      <c r="W24" s="417"/>
      <c r="X24" s="417"/>
      <c r="Y24" s="417"/>
      <c r="Z24" s="417"/>
      <c r="AA24" s="418"/>
      <c r="AB24" s="404"/>
    </row>
    <row r="25" spans="1:29" x14ac:dyDescent="0.25">
      <c r="A25" s="425" t="s">
        <v>36</v>
      </c>
      <c r="B25" s="426" t="s">
        <v>111</v>
      </c>
      <c r="C25" s="427">
        <f>'Invoer 1 - Kraangegevens'!R10</f>
        <v>0</v>
      </c>
      <c r="D25" s="426"/>
      <c r="E25" s="426"/>
      <c r="F25" s="445"/>
      <c r="G25" s="427">
        <v>0</v>
      </c>
      <c r="H25" s="430">
        <v>1.5</v>
      </c>
      <c r="I25" s="429">
        <f>'Invoer 1 - Kraangegevens'!S10</f>
        <v>0</v>
      </c>
      <c r="J25" s="463">
        <f t="shared" si="0"/>
        <v>0</v>
      </c>
      <c r="K25" s="464">
        <f>E25*G25*H25*$E$2*$AG$2</f>
        <v>0</v>
      </c>
      <c r="L25" s="464">
        <f>F25*G25*H25*$E$2*$AH$2</f>
        <v>0</v>
      </c>
      <c r="M25" s="464">
        <f t="shared" si="1"/>
        <v>0</v>
      </c>
      <c r="N25" s="464">
        <f t="shared" si="2"/>
        <v>0</v>
      </c>
      <c r="O25" s="465">
        <f t="shared" si="3"/>
        <v>0</v>
      </c>
      <c r="S25" s="404"/>
      <c r="T25" s="408"/>
      <c r="U25" s="409"/>
      <c r="V25" s="409"/>
      <c r="W25" s="409"/>
      <c r="X25" s="409"/>
      <c r="Y25" s="409"/>
      <c r="Z25" s="409"/>
      <c r="AA25" s="410"/>
      <c r="AB25" s="404"/>
    </row>
    <row r="26" spans="1:29" x14ac:dyDescent="0.25">
      <c r="A26" s="425"/>
      <c r="B26" s="426" t="s">
        <v>112</v>
      </c>
      <c r="C26" s="427"/>
      <c r="D26" s="426"/>
      <c r="E26" s="428">
        <f>'Invoer 1 - Kraangegevens'!U10</f>
        <v>0</v>
      </c>
      <c r="F26" s="429">
        <f>'Invoer 1 - Kraangegevens'!V10</f>
        <v>0</v>
      </c>
      <c r="G26" s="427">
        <v>1.4</v>
      </c>
      <c r="H26" s="430">
        <v>1.5</v>
      </c>
      <c r="I26" s="429">
        <f>'Invoer 1 - Kraangegevens'!T10</f>
        <v>0</v>
      </c>
      <c r="J26" s="463">
        <f t="shared" si="0"/>
        <v>0</v>
      </c>
      <c r="K26" s="464">
        <f>E26*G26*H26*$E$2*$AH$5</f>
        <v>0</v>
      </c>
      <c r="L26" s="464">
        <f>F26*G26*H26*$E$2*$AH$4</f>
        <v>0</v>
      </c>
      <c r="M26" s="464">
        <f t="shared" si="1"/>
        <v>0</v>
      </c>
      <c r="N26" s="464">
        <f t="shared" si="2"/>
        <v>0</v>
      </c>
      <c r="O26" s="465">
        <f t="shared" si="3"/>
        <v>0</v>
      </c>
      <c r="S26" s="404"/>
      <c r="T26" s="416"/>
      <c r="U26" s="417"/>
      <c r="V26" s="417"/>
      <c r="W26" s="417"/>
      <c r="X26" s="417"/>
      <c r="Y26" s="417"/>
      <c r="Z26" s="417"/>
      <c r="AA26" s="418"/>
      <c r="AB26" s="404"/>
    </row>
    <row r="27" spans="1:29" x14ac:dyDescent="0.25">
      <c r="A27" s="434" t="s">
        <v>46</v>
      </c>
      <c r="B27" s="435" t="s">
        <v>111</v>
      </c>
      <c r="C27" s="278">
        <f>'Invoer 1 - Kraangegevens'!R11</f>
        <v>54.8</v>
      </c>
      <c r="D27" s="435"/>
      <c r="E27" s="435"/>
      <c r="F27" s="436"/>
      <c r="G27" s="278">
        <v>0</v>
      </c>
      <c r="H27" s="437">
        <v>1.5</v>
      </c>
      <c r="I27" s="438">
        <f>'Invoer 1 - Kraangegevens'!S11</f>
        <v>14.523784375702382</v>
      </c>
      <c r="J27" s="466">
        <f t="shared" si="0"/>
        <v>82.199999999999989</v>
      </c>
      <c r="K27" s="467">
        <f>E27*G27*H27*$E$2*$AG$2</f>
        <v>0</v>
      </c>
      <c r="L27" s="467">
        <f>F27*G27*H27*$E$2*$AH$2</f>
        <v>0</v>
      </c>
      <c r="M27" s="467">
        <f t="shared" si="1"/>
        <v>1193.8550756827356</v>
      </c>
      <c r="N27" s="467">
        <f t="shared" si="2"/>
        <v>0</v>
      </c>
      <c r="O27" s="468">
        <f t="shared" si="3"/>
        <v>0</v>
      </c>
      <c r="S27" s="404"/>
      <c r="T27" s="404"/>
      <c r="U27" s="404"/>
      <c r="V27" s="404"/>
      <c r="W27" s="404"/>
      <c r="X27" s="404"/>
      <c r="Y27" s="404"/>
      <c r="Z27" s="404"/>
      <c r="AA27" s="404"/>
      <c r="AB27" s="404"/>
    </row>
    <row r="28" spans="1:29" x14ac:dyDescent="0.25">
      <c r="A28" s="434"/>
      <c r="B28" s="435" t="s">
        <v>112</v>
      </c>
      <c r="C28" s="278"/>
      <c r="D28" s="435"/>
      <c r="E28" s="369">
        <f>'Invoer 1 - Kraangegevens'!U11</f>
        <v>4.2579900000000004</v>
      </c>
      <c r="F28" s="438">
        <f>'Invoer 1 - Kraangegevens'!V11</f>
        <v>1.3135759999999999</v>
      </c>
      <c r="G28" s="278">
        <v>0.8</v>
      </c>
      <c r="H28" s="437">
        <v>1.5</v>
      </c>
      <c r="I28" s="438">
        <f>'Invoer 1 - Kraangegevens'!T11</f>
        <v>19.358349185172798</v>
      </c>
      <c r="J28" s="466">
        <f t="shared" si="0"/>
        <v>0</v>
      </c>
      <c r="K28" s="467">
        <f>E28*G28*H28*$E$2*$AH$5</f>
        <v>0.43689550502377927</v>
      </c>
      <c r="L28" s="467">
        <f>F28*G28*H28*$E$2*$AH$4</f>
        <v>0.37030730221244107</v>
      </c>
      <c r="M28" s="467">
        <f t="shared" si="1"/>
        <v>0</v>
      </c>
      <c r="N28" s="467">
        <f t="shared" si="2"/>
        <v>8.4575757436827352</v>
      </c>
      <c r="O28" s="468">
        <f t="shared" si="3"/>
        <v>7.1685380620477455</v>
      </c>
      <c r="S28" s="404"/>
      <c r="T28" s="404"/>
      <c r="U28" s="404"/>
      <c r="V28" s="404"/>
      <c r="W28" s="404"/>
      <c r="X28" s="404"/>
      <c r="Y28" s="404"/>
      <c r="Z28" s="404"/>
      <c r="AA28" s="404"/>
      <c r="AB28" s="404"/>
    </row>
    <row r="29" spans="1:29" x14ac:dyDescent="0.25">
      <c r="A29" s="425" t="s">
        <v>127</v>
      </c>
      <c r="B29" s="426" t="s">
        <v>111</v>
      </c>
      <c r="C29" s="427">
        <f>'Invoer 1 - Kraangegevens'!R12</f>
        <v>60.1</v>
      </c>
      <c r="D29" s="426"/>
      <c r="E29" s="426"/>
      <c r="F29" s="445"/>
      <c r="G29" s="427">
        <v>0.65</v>
      </c>
      <c r="H29" s="430">
        <v>1.5</v>
      </c>
      <c r="I29" s="429">
        <f>'Invoer 1 - Kraangegevens'!S12</f>
        <v>1.5</v>
      </c>
      <c r="J29" s="463">
        <f t="shared" ref="J29:J32" si="4">C29*H29</f>
        <v>90.15</v>
      </c>
      <c r="K29" s="464">
        <f>E29*G29*H29*$E$2*$AG$2</f>
        <v>0</v>
      </c>
      <c r="L29" s="464">
        <f>F29*G29*H29*$E$2*$AH$2</f>
        <v>0</v>
      </c>
      <c r="M29" s="464">
        <f t="shared" ref="M29:M32" si="5">I29*J29</f>
        <v>135.22500000000002</v>
      </c>
      <c r="N29" s="464">
        <f t="shared" ref="N29:N32" si="6">I29*K29</f>
        <v>0</v>
      </c>
      <c r="O29" s="465">
        <f t="shared" ref="O29:O32" si="7">I29*L29</f>
        <v>0</v>
      </c>
    </row>
    <row r="30" spans="1:29" x14ac:dyDescent="0.25">
      <c r="A30" s="425"/>
      <c r="B30" s="426" t="s">
        <v>112</v>
      </c>
      <c r="C30" s="427"/>
      <c r="D30" s="426"/>
      <c r="E30" s="428">
        <f>'Invoer 1 - Kraangegevens'!U12</f>
        <v>21</v>
      </c>
      <c r="F30" s="429">
        <f>'Invoer 1 - Kraangegevens'!V12</f>
        <v>7.5</v>
      </c>
      <c r="G30" s="427">
        <v>0.65</v>
      </c>
      <c r="H30" s="430">
        <v>1.5</v>
      </c>
      <c r="I30" s="429">
        <f>'Invoer 1 - Kraangegevens'!T12</f>
        <v>-20.283000000000001</v>
      </c>
      <c r="J30" s="463">
        <f t="shared" si="4"/>
        <v>0</v>
      </c>
      <c r="K30" s="464">
        <f>E30*G30*H30*$E$2*$AH$5</f>
        <v>1.7507156086482669</v>
      </c>
      <c r="L30" s="464">
        <f>F30*G30*H30*$E$2*$AH$4</f>
        <v>1.7178755723742387</v>
      </c>
      <c r="M30" s="464">
        <f t="shared" si="5"/>
        <v>0</v>
      </c>
      <c r="N30" s="464">
        <f t="shared" si="6"/>
        <v>-35.509764690212798</v>
      </c>
      <c r="O30" s="465">
        <f t="shared" si="7"/>
        <v>-34.843670234466686</v>
      </c>
    </row>
    <row r="31" spans="1:29" x14ac:dyDescent="0.25">
      <c r="A31" s="434" t="s">
        <v>134</v>
      </c>
      <c r="B31" s="435" t="s">
        <v>111</v>
      </c>
      <c r="C31" s="278"/>
      <c r="D31" s="435"/>
      <c r="E31" s="435"/>
      <c r="F31" s="436"/>
      <c r="G31" s="278">
        <v>0</v>
      </c>
      <c r="H31" s="437">
        <v>1.5</v>
      </c>
      <c r="I31" s="438">
        <f>'Invoer 1 - Kraangegevens'!S13</f>
        <v>0</v>
      </c>
      <c r="J31" s="466">
        <f t="shared" si="4"/>
        <v>0</v>
      </c>
      <c r="K31" s="467">
        <f>E31*G31*H31*$E$2*$AG$2</f>
        <v>0</v>
      </c>
      <c r="L31" s="467">
        <f>F31*G31*H31*$E$2*$AH$2</f>
        <v>0</v>
      </c>
      <c r="M31" s="467">
        <f t="shared" si="5"/>
        <v>0</v>
      </c>
      <c r="N31" s="467">
        <f t="shared" si="6"/>
        <v>0</v>
      </c>
      <c r="O31" s="468">
        <f t="shared" si="7"/>
        <v>0</v>
      </c>
      <c r="Y31" s="250" t="s">
        <v>414</v>
      </c>
    </row>
    <row r="32" spans="1:29" x14ac:dyDescent="0.25">
      <c r="A32" s="434"/>
      <c r="B32" s="435" t="s">
        <v>112</v>
      </c>
      <c r="C32" s="278"/>
      <c r="D32" s="369">
        <f>'Invoer 1 - Kraangegevens'!R13</f>
        <v>5.89581</v>
      </c>
      <c r="E32" s="435"/>
      <c r="F32" s="436"/>
      <c r="G32" s="278">
        <v>0</v>
      </c>
      <c r="H32" s="437">
        <v>1.5</v>
      </c>
      <c r="I32" s="438">
        <f>'Invoer 1 - Kraangegevens'!T13</f>
        <v>30.749849185172799</v>
      </c>
      <c r="J32" s="466">
        <f t="shared" si="4"/>
        <v>0</v>
      </c>
      <c r="K32" s="467">
        <f>D32*H32*AH5</f>
        <v>3.0247286718313662</v>
      </c>
      <c r="L32" s="467">
        <f>D32*H32*AH4</f>
        <v>8.3103737258336494</v>
      </c>
      <c r="M32" s="467">
        <f t="shared" si="5"/>
        <v>0</v>
      </c>
      <c r="N32" s="467">
        <f t="shared" si="6"/>
        <v>93.009950484882538</v>
      </c>
      <c r="O32" s="468">
        <f t="shared" si="7"/>
        <v>255.54273874180728</v>
      </c>
    </row>
    <row r="33" spans="1:15" x14ac:dyDescent="0.25">
      <c r="A33" s="425"/>
      <c r="B33" s="426"/>
      <c r="C33" s="446"/>
      <c r="D33" s="426"/>
      <c r="E33" s="426"/>
      <c r="F33" s="445"/>
      <c r="G33" s="427"/>
      <c r="H33" s="430"/>
      <c r="I33" s="429"/>
      <c r="J33" s="431"/>
      <c r="K33" s="432"/>
      <c r="L33" s="432"/>
      <c r="M33" s="432"/>
      <c r="N33" s="432"/>
      <c r="O33" s="433"/>
    </row>
    <row r="34" spans="1:15" x14ac:dyDescent="0.25">
      <c r="A34" s="425"/>
      <c r="B34" s="426"/>
      <c r="C34" s="446"/>
      <c r="D34" s="426"/>
      <c r="E34" s="447"/>
      <c r="F34" s="433"/>
      <c r="G34" s="427"/>
      <c r="H34" s="430"/>
      <c r="I34" s="429"/>
      <c r="J34" s="431"/>
      <c r="K34" s="432"/>
      <c r="L34" s="432"/>
      <c r="M34" s="432"/>
      <c r="N34" s="432"/>
      <c r="O34" s="433"/>
    </row>
    <row r="35" spans="1:15" x14ac:dyDescent="0.25">
      <c r="A35" s="434"/>
      <c r="B35" s="435"/>
      <c r="C35" s="448"/>
      <c r="D35" s="435"/>
      <c r="E35" s="435"/>
      <c r="F35" s="436"/>
      <c r="G35" s="278"/>
      <c r="H35" s="437"/>
      <c r="I35" s="438"/>
      <c r="J35" s="439"/>
      <c r="K35" s="440"/>
      <c r="L35" s="440"/>
      <c r="M35" s="440"/>
      <c r="N35" s="440"/>
      <c r="O35" s="441"/>
    </row>
    <row r="36" spans="1:15" ht="15.75" thickBot="1" x14ac:dyDescent="0.3">
      <c r="A36" s="449"/>
      <c r="B36" s="450"/>
      <c r="C36" s="451"/>
      <c r="D36" s="450"/>
      <c r="E36" s="450"/>
      <c r="F36" s="452"/>
      <c r="G36" s="286"/>
      <c r="H36" s="292"/>
      <c r="I36" s="453"/>
      <c r="J36" s="454"/>
      <c r="K36" s="306"/>
      <c r="L36" s="306"/>
      <c r="M36" s="306"/>
      <c r="N36" s="306"/>
      <c r="O36" s="455"/>
    </row>
    <row r="38" spans="1:15" ht="18" x14ac:dyDescent="0.35">
      <c r="J38" s="456" t="s">
        <v>147</v>
      </c>
      <c r="K38" s="456" t="s">
        <v>148</v>
      </c>
      <c r="L38" s="456" t="s">
        <v>149</v>
      </c>
      <c r="M38" s="456" t="s">
        <v>150</v>
      </c>
      <c r="N38" s="456" t="s">
        <v>151</v>
      </c>
      <c r="O38" s="456" t="s">
        <v>152</v>
      </c>
    </row>
    <row r="39" spans="1:15" x14ac:dyDescent="0.25">
      <c r="I39" s="250" t="s">
        <v>132</v>
      </c>
      <c r="J39" s="457">
        <f t="shared" ref="J39:O39" si="8">SUM(J13:J36)</f>
        <v>1217.25</v>
      </c>
      <c r="K39" s="457">
        <f t="shared" si="8"/>
        <v>8.3027055430404069</v>
      </c>
      <c r="L39" s="457">
        <f t="shared" si="8"/>
        <v>19.934439854578127</v>
      </c>
      <c r="M39" s="457">
        <f t="shared" si="8"/>
        <v>886.37568945549276</v>
      </c>
      <c r="N39" s="457">
        <f t="shared" si="8"/>
        <v>85.481549201636355</v>
      </c>
      <c r="O39" s="457">
        <f t="shared" si="8"/>
        <v>282.89383037550965</v>
      </c>
    </row>
    <row r="41" spans="1:15" ht="18.75" x14ac:dyDescent="0.35">
      <c r="J41" s="250" t="s">
        <v>140</v>
      </c>
      <c r="K41" s="458" t="s">
        <v>145</v>
      </c>
      <c r="N41" s="285">
        <f>SQRT((M39+N39)^2+O39^2)</f>
        <v>1012.1933667016335</v>
      </c>
      <c r="O41" s="250" t="s">
        <v>131</v>
      </c>
    </row>
    <row r="42" spans="1:15" ht="18.75" x14ac:dyDescent="0.35">
      <c r="J42" s="250" t="s">
        <v>141</v>
      </c>
      <c r="K42" s="250" t="s">
        <v>146</v>
      </c>
      <c r="N42" s="285">
        <f>SQRT(K39^2+L39^2)</f>
        <v>21.594369906302585</v>
      </c>
      <c r="O42" s="250" t="s">
        <v>12</v>
      </c>
    </row>
    <row r="44" spans="1:15" ht="18" x14ac:dyDescent="0.35">
      <c r="J44" s="250" t="s">
        <v>142</v>
      </c>
      <c r="K44" s="250" t="s">
        <v>153</v>
      </c>
      <c r="N44" s="254">
        <f>(M39+N39)/J39</f>
        <v>0.79840397507260552</v>
      </c>
      <c r="O44" s="250" t="s">
        <v>15</v>
      </c>
    </row>
    <row r="45" spans="1:15" ht="18" x14ac:dyDescent="0.35">
      <c r="J45" s="250" t="s">
        <v>143</v>
      </c>
      <c r="K45" s="456" t="s">
        <v>154</v>
      </c>
      <c r="N45" s="254">
        <f>O39/J39</f>
        <v>0.23240405042144971</v>
      </c>
      <c r="O45" s="250" t="s">
        <v>15</v>
      </c>
    </row>
    <row r="46" spans="1:15" ht="18.75" x14ac:dyDescent="0.35">
      <c r="J46" s="250" t="s">
        <v>144</v>
      </c>
      <c r="K46" s="458" t="s">
        <v>155</v>
      </c>
      <c r="N46" s="254">
        <f>SQRT(N44^2+N45^2)</f>
        <v>0.8315410693790376</v>
      </c>
      <c r="O46" s="250" t="s">
        <v>15</v>
      </c>
    </row>
    <row r="47" spans="1:15" x14ac:dyDescent="0.25">
      <c r="N47" s="254">
        <f>N41/J39</f>
        <v>0.8315410693790376</v>
      </c>
      <c r="O47" s="250" t="s">
        <v>15</v>
      </c>
    </row>
  </sheetData>
  <sheetProtection algorithmName="SHA-512" hashValue="M+6gAezu4pL8kBXgxjJdKfaF2lmqeLtE0JkGcpufBAVOlQ7CcQ/Zuo++X5iN156+E4HFbUUtqRkA06UaAQU0PQ==" saltValue="sk7tqBDuTYLhLripOsLSdg==" spinCount="100000" sheet="1" objects="1" scenarios="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7A2C2-2041-4475-A8E7-114B4758505F}">
  <sheetPr>
    <tabColor rgb="FF0061AD"/>
  </sheetPr>
  <dimension ref="A1:AT33"/>
  <sheetViews>
    <sheetView zoomScaleNormal="100" workbookViewId="0">
      <selection activeCell="O26" sqref="O26"/>
    </sheetView>
  </sheetViews>
  <sheetFormatPr defaultRowHeight="15" x14ac:dyDescent="0.25"/>
  <cols>
    <col min="1" max="2" width="9.140625" style="250"/>
    <col min="3" max="4" width="11.140625" style="250" customWidth="1"/>
    <col min="5" max="5" width="12" style="250" bestFit="1" customWidth="1"/>
    <col min="6" max="8" width="9.140625" style="250"/>
    <col min="9" max="9" width="4.28515625" style="250" customWidth="1"/>
    <col min="10" max="16384" width="9.140625" style="250"/>
  </cols>
  <sheetData>
    <row r="1" spans="1:46" x14ac:dyDescent="0.25">
      <c r="A1" s="469" t="s">
        <v>182</v>
      </c>
      <c r="B1" s="470"/>
      <c r="C1" s="470"/>
      <c r="D1" s="470"/>
      <c r="E1" s="470"/>
      <c r="F1" s="470"/>
      <c r="G1" s="471"/>
    </row>
    <row r="2" spans="1:46" x14ac:dyDescent="0.25">
      <c r="A2" s="472" t="s">
        <v>156</v>
      </c>
      <c r="B2" s="435"/>
      <c r="C2" s="435"/>
      <c r="D2" s="435"/>
      <c r="E2" s="435"/>
      <c r="F2" s="435"/>
      <c r="G2" s="473"/>
    </row>
    <row r="3" spans="1:46" x14ac:dyDescent="0.25">
      <c r="A3" s="434"/>
      <c r="B3" s="435"/>
      <c r="C3" s="435"/>
      <c r="D3" s="435"/>
      <c r="E3" s="435"/>
      <c r="F3" s="435"/>
      <c r="G3" s="473"/>
    </row>
    <row r="4" spans="1:46" x14ac:dyDescent="0.25">
      <c r="A4" s="434" t="s">
        <v>157</v>
      </c>
      <c r="B4" s="435"/>
      <c r="C4" s="435"/>
      <c r="D4" s="435"/>
      <c r="E4" s="435"/>
      <c r="F4" s="481">
        <f>'Invoer 2 - Berek. Belastingen'!J39</f>
        <v>1217.25</v>
      </c>
      <c r="G4" s="473" t="s">
        <v>12</v>
      </c>
      <c r="U4" s="250" t="s">
        <v>403</v>
      </c>
      <c r="AA4" s="258"/>
      <c r="AB4" s="258"/>
      <c r="AC4" s="258"/>
      <c r="AD4" s="258"/>
      <c r="AE4" s="258"/>
      <c r="AF4" s="258"/>
      <c r="AG4" s="258"/>
      <c r="AH4" s="258"/>
      <c r="AI4" s="258"/>
      <c r="AJ4" s="258"/>
      <c r="AK4" s="258"/>
      <c r="AL4" s="258"/>
      <c r="AM4" s="258"/>
      <c r="AN4" s="258"/>
      <c r="AO4" s="258"/>
      <c r="AP4" s="258"/>
      <c r="AQ4" s="258"/>
      <c r="AR4" s="258"/>
      <c r="AS4" s="258"/>
      <c r="AT4" s="258"/>
    </row>
    <row r="5" spans="1:46" x14ac:dyDescent="0.25">
      <c r="A5" s="434" t="s">
        <v>161</v>
      </c>
      <c r="B5" s="435"/>
      <c r="C5" s="435"/>
      <c r="D5" s="435"/>
      <c r="E5" s="435"/>
      <c r="F5" s="481">
        <f>'Invoer 2 - Berek. Belastingen'!E4</f>
        <v>0</v>
      </c>
      <c r="G5" s="473" t="s">
        <v>28</v>
      </c>
      <c r="AL5" s="258"/>
      <c r="AM5" s="258"/>
      <c r="AN5" s="258"/>
      <c r="AO5" s="258"/>
      <c r="AP5" s="258"/>
      <c r="AQ5" s="258"/>
      <c r="AR5" s="258"/>
      <c r="AS5" s="258"/>
      <c r="AT5" s="258"/>
    </row>
    <row r="6" spans="1:46" ht="18" x14ac:dyDescent="0.35">
      <c r="A6" s="434" t="s">
        <v>142</v>
      </c>
      <c r="B6" s="435"/>
      <c r="C6" s="435"/>
      <c r="D6" s="435"/>
      <c r="E6" s="435"/>
      <c r="F6" s="400">
        <f>COS(F5*PI()/180)*'Invoer 2 - Berek. Belastingen'!N46</f>
        <v>0.8315410693790376</v>
      </c>
      <c r="G6" s="473" t="s">
        <v>15</v>
      </c>
      <c r="AL6" s="255"/>
      <c r="AM6" s="258"/>
      <c r="AN6" s="258"/>
      <c r="AO6" s="258"/>
      <c r="AP6" s="258"/>
      <c r="AQ6" s="258"/>
      <c r="AR6" s="258"/>
      <c r="AS6" s="258"/>
      <c r="AT6" s="258"/>
    </row>
    <row r="7" spans="1:46" ht="18" x14ac:dyDescent="0.35">
      <c r="A7" s="434" t="s">
        <v>143</v>
      </c>
      <c r="B7" s="435"/>
      <c r="C7" s="435"/>
      <c r="D7" s="435"/>
      <c r="E7" s="435"/>
      <c r="F7" s="400">
        <f>SIN(F5*PI()/180)*'Invoer 2 - Berek. Belastingen'!N46</f>
        <v>0</v>
      </c>
      <c r="G7" s="473" t="s">
        <v>15</v>
      </c>
      <c r="I7" s="254"/>
      <c r="AL7" s="255"/>
      <c r="AM7" s="258"/>
      <c r="AN7" s="258"/>
      <c r="AO7" s="258"/>
      <c r="AP7" s="258"/>
      <c r="AQ7" s="258"/>
      <c r="AR7" s="258"/>
      <c r="AS7" s="258"/>
      <c r="AT7" s="258"/>
    </row>
    <row r="8" spans="1:46" ht="18" x14ac:dyDescent="0.35">
      <c r="A8" s="434" t="s">
        <v>144</v>
      </c>
      <c r="B8" s="435"/>
      <c r="C8" s="435"/>
      <c r="D8" s="435"/>
      <c r="E8" s="435"/>
      <c r="F8" s="400">
        <f>SQRT(F6^2+F7^2)</f>
        <v>0.8315410693790376</v>
      </c>
      <c r="G8" s="473" t="s">
        <v>15</v>
      </c>
      <c r="AL8" s="255"/>
      <c r="AM8" s="258"/>
      <c r="AN8" s="258"/>
      <c r="AO8" s="258"/>
      <c r="AP8" s="258"/>
      <c r="AQ8" s="258"/>
      <c r="AR8" s="258"/>
      <c r="AS8" s="258"/>
      <c r="AT8" s="258"/>
    </row>
    <row r="9" spans="1:46" x14ac:dyDescent="0.25">
      <c r="A9" s="434"/>
      <c r="B9" s="435"/>
      <c r="C9" s="435"/>
      <c r="D9" s="435"/>
      <c r="E9" s="435"/>
      <c r="F9" s="481"/>
      <c r="G9" s="473"/>
      <c r="AL9" s="255"/>
      <c r="AM9" s="258"/>
      <c r="AN9" s="258"/>
      <c r="AO9" s="258"/>
      <c r="AP9" s="258"/>
      <c r="AQ9" s="258"/>
      <c r="AR9" s="258"/>
      <c r="AS9" s="258"/>
      <c r="AT9" s="258"/>
    </row>
    <row r="10" spans="1:46" x14ac:dyDescent="0.25">
      <c r="A10" s="434" t="s">
        <v>158</v>
      </c>
      <c r="B10" s="435"/>
      <c r="C10" s="435"/>
      <c r="D10" s="435"/>
      <c r="E10" s="435"/>
      <c r="F10" s="400">
        <f>'Invoer 1 - Kraangegevens'!K17</f>
        <v>12</v>
      </c>
      <c r="G10" s="473" t="s">
        <v>15</v>
      </c>
      <c r="AL10" s="255"/>
      <c r="AM10" s="258"/>
      <c r="AN10" s="258"/>
      <c r="AO10" s="258"/>
      <c r="AP10" s="258"/>
      <c r="AQ10" s="258"/>
      <c r="AR10" s="258"/>
      <c r="AS10" s="258"/>
      <c r="AT10" s="258"/>
    </row>
    <row r="11" spans="1:46" x14ac:dyDescent="0.25">
      <c r="A11" s="434" t="s">
        <v>159</v>
      </c>
      <c r="B11" s="435"/>
      <c r="C11" s="435"/>
      <c r="D11" s="435"/>
      <c r="E11" s="435"/>
      <c r="F11" s="400">
        <f>'Invoer 1 - Kraangegevens'!K18</f>
        <v>1.24</v>
      </c>
      <c r="G11" s="473" t="s">
        <v>15</v>
      </c>
      <c r="O11" s="404"/>
      <c r="P11" s="404"/>
      <c r="Q11" s="404"/>
      <c r="R11" s="404"/>
      <c r="S11" s="404"/>
      <c r="T11" s="404"/>
      <c r="U11" s="404"/>
      <c r="V11" s="404"/>
      <c r="W11" s="404"/>
      <c r="X11" s="404"/>
      <c r="AD11" s="254"/>
      <c r="AL11" s="255"/>
      <c r="AM11" s="258"/>
      <c r="AN11" s="258"/>
      <c r="AO11" s="258"/>
      <c r="AP11" s="258"/>
      <c r="AQ11" s="258"/>
      <c r="AR11" s="258"/>
      <c r="AS11" s="258"/>
      <c r="AT11" s="258"/>
    </row>
    <row r="12" spans="1:46" x14ac:dyDescent="0.25">
      <c r="A12" s="434" t="s">
        <v>8</v>
      </c>
      <c r="B12" s="435"/>
      <c r="C12" s="435"/>
      <c r="D12" s="435"/>
      <c r="E12" s="435"/>
      <c r="F12" s="400">
        <f>'Invoer 1 - Kraangegevens'!D3</f>
        <v>6.17</v>
      </c>
      <c r="G12" s="473" t="s">
        <v>15</v>
      </c>
      <c r="O12" s="404"/>
      <c r="P12" s="404"/>
      <c r="Q12" s="404"/>
      <c r="R12" s="404"/>
      <c r="S12" s="404"/>
      <c r="T12" s="404"/>
      <c r="U12" s="404"/>
      <c r="V12" s="404"/>
      <c r="W12" s="404"/>
      <c r="X12" s="404"/>
      <c r="AL12" s="255"/>
      <c r="AM12" s="258"/>
      <c r="AN12" s="258"/>
      <c r="AO12" s="258"/>
      <c r="AP12" s="258"/>
      <c r="AQ12" s="258"/>
      <c r="AR12" s="258"/>
      <c r="AS12" s="258"/>
      <c r="AT12" s="258"/>
    </row>
    <row r="13" spans="1:46" x14ac:dyDescent="0.25">
      <c r="A13" s="434" t="s">
        <v>105</v>
      </c>
      <c r="B13" s="435"/>
      <c r="C13" s="435"/>
      <c r="D13" s="435"/>
      <c r="E13" s="435"/>
      <c r="F13" s="400">
        <f>'Invoer 1 - Kraangegevens'!D2</f>
        <v>4.79</v>
      </c>
      <c r="G13" s="473" t="s">
        <v>15</v>
      </c>
      <c r="O13" s="404"/>
      <c r="P13" s="408"/>
      <c r="Q13" s="409"/>
      <c r="R13" s="409"/>
      <c r="S13" s="409"/>
      <c r="T13" s="409"/>
      <c r="U13" s="409"/>
      <c r="V13" s="409"/>
      <c r="W13" s="410"/>
      <c r="X13" s="404"/>
      <c r="AL13" s="255"/>
      <c r="AM13" s="258"/>
      <c r="AN13" s="258"/>
      <c r="AO13" s="258"/>
      <c r="AP13" s="258"/>
      <c r="AQ13" s="258"/>
      <c r="AR13" s="258"/>
      <c r="AS13" s="258"/>
      <c r="AT13" s="258"/>
    </row>
    <row r="14" spans="1:46" x14ac:dyDescent="0.25">
      <c r="A14" s="434"/>
      <c r="B14" s="435"/>
      <c r="C14" s="435"/>
      <c r="D14" s="435"/>
      <c r="E14" s="435"/>
      <c r="F14" s="435"/>
      <c r="G14" s="473"/>
      <c r="O14" s="404"/>
      <c r="P14" s="416"/>
      <c r="Q14" s="417"/>
      <c r="R14" s="417"/>
      <c r="S14" s="417"/>
      <c r="T14" s="417"/>
      <c r="U14" s="417"/>
      <c r="V14" s="417"/>
      <c r="W14" s="418"/>
      <c r="X14" s="404"/>
      <c r="AL14" s="255"/>
      <c r="AM14" s="258"/>
      <c r="AN14" s="258"/>
      <c r="AO14" s="258"/>
      <c r="AP14" s="258"/>
      <c r="AQ14" s="258"/>
      <c r="AR14" s="258"/>
      <c r="AS14" s="258"/>
      <c r="AT14" s="258"/>
    </row>
    <row r="15" spans="1:46" x14ac:dyDescent="0.25">
      <c r="A15" s="434" t="s">
        <v>401</v>
      </c>
      <c r="B15" s="435"/>
      <c r="C15" s="435"/>
      <c r="D15" s="435"/>
      <c r="E15" s="437" t="s">
        <v>353</v>
      </c>
      <c r="F15" s="474">
        <v>1</v>
      </c>
      <c r="G15" s="473" t="s">
        <v>15</v>
      </c>
      <c r="I15" s="475" t="s">
        <v>457</v>
      </c>
      <c r="J15" s="250" t="s">
        <v>458</v>
      </c>
      <c r="O15" s="404"/>
      <c r="P15" s="408"/>
      <c r="Q15" s="409"/>
      <c r="R15" s="409"/>
      <c r="S15" s="409"/>
      <c r="T15" s="409"/>
      <c r="U15" s="409"/>
      <c r="V15" s="409"/>
      <c r="W15" s="410"/>
      <c r="X15" s="404"/>
      <c r="AL15" s="255"/>
      <c r="AM15" s="258"/>
      <c r="AN15" s="258"/>
      <c r="AO15" s="258"/>
      <c r="AP15" s="258"/>
      <c r="AQ15" s="258"/>
      <c r="AR15" s="258"/>
      <c r="AS15" s="258"/>
      <c r="AT15" s="258"/>
    </row>
    <row r="16" spans="1:46" x14ac:dyDescent="0.25">
      <c r="A16" s="434"/>
      <c r="B16" s="435"/>
      <c r="C16" s="435" t="s">
        <v>351</v>
      </c>
      <c r="D16" s="435"/>
      <c r="E16" s="437" t="s">
        <v>356</v>
      </c>
      <c r="F16" s="400">
        <f>F10-F13-F15</f>
        <v>6.21</v>
      </c>
      <c r="G16" s="473" t="s">
        <v>15</v>
      </c>
      <c r="I16" s="475" t="s">
        <v>457</v>
      </c>
      <c r="J16" s="476">
        <f>F10/2-F13/2</f>
        <v>3.605</v>
      </c>
      <c r="K16" s="254" t="s">
        <v>459</v>
      </c>
      <c r="O16" s="404"/>
      <c r="P16" s="416"/>
      <c r="Q16" s="417"/>
      <c r="R16" s="417"/>
      <c r="S16" s="417"/>
      <c r="T16" s="417"/>
      <c r="U16" s="417"/>
      <c r="V16" s="417"/>
      <c r="W16" s="418"/>
      <c r="X16" s="404"/>
      <c r="AL16" s="255"/>
      <c r="AM16" s="258"/>
      <c r="AN16" s="258"/>
      <c r="AO16" s="258"/>
      <c r="AP16" s="258"/>
      <c r="AQ16" s="258"/>
      <c r="AR16" s="258"/>
      <c r="AS16" s="258"/>
      <c r="AT16" s="258"/>
    </row>
    <row r="17" spans="1:46" x14ac:dyDescent="0.25">
      <c r="A17" s="434"/>
      <c r="B17" s="435"/>
      <c r="C17" s="435"/>
      <c r="D17" s="435"/>
      <c r="E17" s="435"/>
      <c r="F17" s="477" t="str">
        <f>IF(F16&lt;0,"NIET OK","OK")</f>
        <v>OK</v>
      </c>
      <c r="G17" s="473"/>
      <c r="K17" s="254"/>
      <c r="O17" s="404"/>
      <c r="P17" s="408"/>
      <c r="Q17" s="409"/>
      <c r="R17" s="409"/>
      <c r="S17" s="442"/>
      <c r="T17" s="409"/>
      <c r="U17" s="442"/>
      <c r="V17" s="443" t="s">
        <v>352</v>
      </c>
      <c r="W17" s="410"/>
      <c r="X17" s="404"/>
      <c r="AL17" s="255"/>
      <c r="AM17" s="258"/>
      <c r="AN17" s="258"/>
      <c r="AO17" s="258"/>
      <c r="AP17" s="258"/>
      <c r="AQ17" s="258"/>
      <c r="AR17" s="258"/>
      <c r="AS17" s="258"/>
      <c r="AT17" s="258"/>
    </row>
    <row r="18" spans="1:46" x14ac:dyDescent="0.25">
      <c r="A18" s="434"/>
      <c r="B18" s="435"/>
      <c r="C18" s="435"/>
      <c r="D18" s="435"/>
      <c r="E18" s="435"/>
      <c r="F18" s="369"/>
      <c r="G18" s="473"/>
      <c r="K18" s="254"/>
      <c r="O18" s="404"/>
      <c r="P18" s="416"/>
      <c r="Q18" s="417"/>
      <c r="R18" s="417"/>
      <c r="S18" s="444"/>
      <c r="T18" s="417"/>
      <c r="U18" s="444"/>
      <c r="V18" s="417"/>
      <c r="W18" s="418"/>
      <c r="X18" s="404"/>
      <c r="AL18" s="255"/>
      <c r="AM18" s="258"/>
      <c r="AN18" s="258"/>
      <c r="AO18" s="258"/>
      <c r="AP18" s="258"/>
      <c r="AQ18" s="258"/>
      <c r="AR18" s="258"/>
      <c r="AS18" s="258"/>
      <c r="AT18" s="258"/>
    </row>
    <row r="19" spans="1:46" x14ac:dyDescent="0.25">
      <c r="A19" s="434" t="s">
        <v>160</v>
      </c>
      <c r="B19" s="435"/>
      <c r="C19" s="435"/>
      <c r="D19" s="435"/>
      <c r="E19" s="435"/>
      <c r="F19" s="481">
        <f>F10/2-F15-F13/2</f>
        <v>2.605</v>
      </c>
      <c r="G19" s="473" t="s">
        <v>15</v>
      </c>
      <c r="J19" s="254"/>
      <c r="O19" s="404"/>
      <c r="P19" s="408"/>
      <c r="Q19" s="409"/>
      <c r="R19" s="409"/>
      <c r="S19" s="444"/>
      <c r="T19" s="409"/>
      <c r="U19" s="444"/>
      <c r="V19" s="409"/>
      <c r="W19" s="410"/>
      <c r="X19" s="404"/>
      <c r="AL19" s="255"/>
      <c r="AM19" s="258"/>
      <c r="AN19" s="258"/>
      <c r="AO19" s="258"/>
      <c r="AP19" s="258"/>
      <c r="AQ19" s="258"/>
      <c r="AR19" s="258"/>
      <c r="AS19" s="258"/>
      <c r="AT19" s="258"/>
    </row>
    <row r="20" spans="1:46" ht="18" x14ac:dyDescent="0.35">
      <c r="A20" s="434" t="s">
        <v>166</v>
      </c>
      <c r="B20" s="435"/>
      <c r="C20" s="435"/>
      <c r="D20" s="435"/>
      <c r="E20" s="435"/>
      <c r="F20" s="481">
        <f>F19</f>
        <v>2.605</v>
      </c>
      <c r="G20" s="473" t="s">
        <v>15</v>
      </c>
      <c r="O20" s="404"/>
      <c r="P20" s="416"/>
      <c r="Q20" s="417"/>
      <c r="R20" s="417"/>
      <c r="S20" s="444"/>
      <c r="T20" s="417"/>
      <c r="U20" s="444"/>
      <c r="V20" s="417"/>
      <c r="W20" s="418"/>
      <c r="X20" s="404"/>
      <c r="Y20" s="250" t="s">
        <v>415</v>
      </c>
      <c r="AL20" s="255"/>
      <c r="AM20" s="258"/>
      <c r="AN20" s="258"/>
      <c r="AO20" s="258"/>
      <c r="AP20" s="258"/>
      <c r="AQ20" s="258"/>
      <c r="AR20" s="258"/>
      <c r="AS20" s="258"/>
      <c r="AT20" s="258"/>
    </row>
    <row r="21" spans="1:46" x14ac:dyDescent="0.25">
      <c r="A21" s="434"/>
      <c r="B21" s="435"/>
      <c r="C21" s="435"/>
      <c r="D21" s="435"/>
      <c r="E21" s="435"/>
      <c r="F21" s="481"/>
      <c r="G21" s="473"/>
      <c r="I21" s="254"/>
      <c r="O21" s="404"/>
      <c r="P21" s="408"/>
      <c r="Q21" s="409"/>
      <c r="R21" s="409"/>
      <c r="S21" s="444"/>
      <c r="T21" s="409"/>
      <c r="U21" s="444"/>
      <c r="V21" s="409"/>
      <c r="W21" s="410"/>
      <c r="X21" s="404"/>
      <c r="AL21" s="255"/>
      <c r="AM21" s="258"/>
      <c r="AN21" s="258"/>
      <c r="AO21" s="258"/>
      <c r="AP21" s="258"/>
      <c r="AQ21" s="258"/>
      <c r="AR21" s="258"/>
      <c r="AS21" s="258"/>
      <c r="AT21" s="258"/>
    </row>
    <row r="22" spans="1:46" x14ac:dyDescent="0.25">
      <c r="A22" s="434"/>
      <c r="B22" s="435"/>
      <c r="C22" s="435"/>
      <c r="D22" s="435"/>
      <c r="E22" s="435"/>
      <c r="F22" s="481"/>
      <c r="G22" s="473"/>
      <c r="O22" s="404"/>
      <c r="P22" s="416"/>
      <c r="Q22" s="417"/>
      <c r="R22" s="417"/>
      <c r="S22" s="444"/>
      <c r="T22" s="417"/>
      <c r="U22" s="444"/>
      <c r="V22" s="417"/>
      <c r="W22" s="418"/>
      <c r="X22" s="404"/>
      <c r="AL22" s="255"/>
      <c r="AM22" s="258"/>
      <c r="AN22" s="258"/>
      <c r="AO22" s="258"/>
      <c r="AP22" s="258"/>
      <c r="AQ22" s="258"/>
      <c r="AR22" s="258"/>
      <c r="AS22" s="258"/>
      <c r="AT22" s="258"/>
    </row>
    <row r="23" spans="1:46" ht="18" x14ac:dyDescent="0.35">
      <c r="A23" s="434" t="s">
        <v>163</v>
      </c>
      <c r="B23" s="435" t="s">
        <v>162</v>
      </c>
      <c r="C23" s="435"/>
      <c r="D23" s="435"/>
      <c r="E23" s="435"/>
      <c r="F23" s="400">
        <f>F12-2*F8*COS(F5*PI()/180)</f>
        <v>4.5069178612419245</v>
      </c>
      <c r="G23" s="473" t="s">
        <v>15</v>
      </c>
      <c r="O23" s="404"/>
      <c r="P23" s="408"/>
      <c r="Q23" s="409"/>
      <c r="R23" s="409"/>
      <c r="S23" s="444"/>
      <c r="T23" s="409"/>
      <c r="U23" s="444"/>
      <c r="V23" s="409"/>
      <c r="W23" s="410"/>
      <c r="X23" s="404"/>
      <c r="AL23" s="255"/>
      <c r="AM23" s="258"/>
      <c r="AN23" s="258"/>
      <c r="AO23" s="258"/>
      <c r="AP23" s="258"/>
      <c r="AQ23" s="258"/>
      <c r="AR23" s="258"/>
      <c r="AS23" s="258"/>
      <c r="AT23" s="258"/>
    </row>
    <row r="24" spans="1:46" ht="18" x14ac:dyDescent="0.35">
      <c r="A24" s="434" t="s">
        <v>164</v>
      </c>
      <c r="B24" s="435" t="s">
        <v>165</v>
      </c>
      <c r="C24" s="435"/>
      <c r="D24" s="435"/>
      <c r="E24" s="435"/>
      <c r="F24" s="400">
        <f>F10-2*F19-2*F8*SIN(F5*PI()/180)</f>
        <v>6.79</v>
      </c>
      <c r="G24" s="473" t="s">
        <v>15</v>
      </c>
      <c r="O24" s="404"/>
      <c r="P24" s="416"/>
      <c r="Q24" s="417"/>
      <c r="R24" s="417"/>
      <c r="S24" s="444"/>
      <c r="T24" s="417"/>
      <c r="U24" s="444"/>
      <c r="V24" s="417"/>
      <c r="W24" s="418"/>
      <c r="X24" s="404"/>
      <c r="AL24" s="255"/>
      <c r="AM24" s="258"/>
      <c r="AN24" s="258"/>
      <c r="AO24" s="258"/>
      <c r="AP24" s="258"/>
      <c r="AQ24" s="258"/>
      <c r="AR24" s="258"/>
      <c r="AS24" s="258"/>
      <c r="AT24" s="258"/>
    </row>
    <row r="25" spans="1:46" ht="18" thickBot="1" x14ac:dyDescent="0.3">
      <c r="A25" s="449" t="s">
        <v>167</v>
      </c>
      <c r="B25" s="450" t="s">
        <v>168</v>
      </c>
      <c r="C25" s="450"/>
      <c r="D25" s="450"/>
      <c r="E25" s="450"/>
      <c r="F25" s="482">
        <f>F23*F24</f>
        <v>30.601972277832669</v>
      </c>
      <c r="G25" s="478" t="s">
        <v>19</v>
      </c>
      <c r="O25" s="404"/>
      <c r="P25" s="408"/>
      <c r="Q25" s="409"/>
      <c r="R25" s="409"/>
      <c r="S25" s="444"/>
      <c r="T25" s="409"/>
      <c r="U25" s="444"/>
      <c r="V25" s="409"/>
      <c r="W25" s="410"/>
      <c r="X25" s="404"/>
      <c r="AL25" s="255"/>
      <c r="AM25" s="258"/>
      <c r="AN25" s="258"/>
      <c r="AO25" s="258"/>
      <c r="AP25" s="258"/>
      <c r="AQ25" s="258"/>
      <c r="AR25" s="258"/>
      <c r="AS25" s="258"/>
      <c r="AT25" s="258"/>
    </row>
    <row r="26" spans="1:46" x14ac:dyDescent="0.25">
      <c r="O26" s="404"/>
      <c r="P26" s="416"/>
      <c r="Q26" s="417"/>
      <c r="R26" s="417"/>
      <c r="S26" s="417"/>
      <c r="T26" s="417"/>
      <c r="U26" s="417"/>
      <c r="V26" s="417"/>
      <c r="W26" s="418"/>
      <c r="X26" s="404"/>
      <c r="AL26" s="255"/>
      <c r="AM26" s="258"/>
      <c r="AN26" s="258"/>
      <c r="AO26" s="258"/>
      <c r="AP26" s="258"/>
      <c r="AQ26" s="258"/>
      <c r="AR26" s="258"/>
      <c r="AS26" s="258"/>
      <c r="AT26" s="258"/>
    </row>
    <row r="27" spans="1:46" x14ac:dyDescent="0.25">
      <c r="O27" s="404"/>
      <c r="P27" s="408"/>
      <c r="Q27" s="409"/>
      <c r="R27" s="409"/>
      <c r="S27" s="409"/>
      <c r="T27" s="409"/>
      <c r="U27" s="409"/>
      <c r="V27" s="409"/>
      <c r="W27" s="410"/>
      <c r="X27" s="404"/>
      <c r="AL27" s="255"/>
      <c r="AM27" s="258"/>
      <c r="AN27" s="258"/>
      <c r="AO27" s="258"/>
      <c r="AP27" s="258"/>
      <c r="AQ27" s="258"/>
      <c r="AR27" s="258"/>
      <c r="AS27" s="258"/>
      <c r="AT27" s="258"/>
    </row>
    <row r="28" spans="1:46" x14ac:dyDescent="0.25">
      <c r="O28" s="404"/>
      <c r="P28" s="416"/>
      <c r="Q28" s="417"/>
      <c r="R28" s="417"/>
      <c r="S28" s="417"/>
      <c r="T28" s="417"/>
      <c r="U28" s="417"/>
      <c r="V28" s="417"/>
      <c r="W28" s="418"/>
      <c r="X28" s="404"/>
      <c r="AG28" s="475"/>
      <c r="AL28" s="255"/>
      <c r="AM28" s="258"/>
      <c r="AN28" s="258"/>
      <c r="AO28" s="258"/>
      <c r="AP28" s="258"/>
      <c r="AQ28" s="258"/>
      <c r="AR28" s="258"/>
      <c r="AS28" s="258"/>
      <c r="AT28" s="258"/>
    </row>
    <row r="29" spans="1:46" x14ac:dyDescent="0.25">
      <c r="O29" s="404"/>
      <c r="P29" s="404"/>
      <c r="Q29" s="404"/>
      <c r="R29" s="404"/>
      <c r="S29" s="404"/>
      <c r="T29" s="404"/>
      <c r="U29" s="404"/>
      <c r="V29" s="404"/>
      <c r="W29" s="404"/>
      <c r="X29" s="404"/>
      <c r="AB29" s="250" t="s">
        <v>354</v>
      </c>
      <c r="AG29" s="475" t="s">
        <v>352</v>
      </c>
      <c r="AL29" s="255"/>
      <c r="AM29" s="258"/>
      <c r="AN29" s="258"/>
      <c r="AO29" s="258"/>
      <c r="AP29" s="258"/>
      <c r="AQ29" s="258"/>
      <c r="AR29" s="258"/>
      <c r="AS29" s="258"/>
      <c r="AT29" s="258"/>
    </row>
    <row r="30" spans="1:46" x14ac:dyDescent="0.25">
      <c r="O30" s="404"/>
      <c r="P30" s="404"/>
      <c r="Q30" s="404"/>
      <c r="R30" s="404"/>
      <c r="S30" s="404"/>
      <c r="T30" s="404"/>
      <c r="U30" s="404"/>
      <c r="V30" s="404"/>
      <c r="W30" s="404"/>
      <c r="X30" s="404"/>
      <c r="AD30" s="479"/>
      <c r="AF30" s="479"/>
      <c r="AL30" s="255"/>
      <c r="AM30" s="258"/>
      <c r="AN30" s="258"/>
      <c r="AO30" s="258"/>
      <c r="AP30" s="258"/>
      <c r="AQ30" s="258"/>
      <c r="AR30" s="258"/>
      <c r="AS30" s="258"/>
      <c r="AT30" s="258"/>
    </row>
    <row r="31" spans="1:46" x14ac:dyDescent="0.25">
      <c r="AA31" s="480"/>
      <c r="AB31" s="480"/>
      <c r="AC31" s="480"/>
      <c r="AD31" s="480"/>
      <c r="AE31" s="480"/>
      <c r="AF31" s="480"/>
      <c r="AG31" s="480"/>
      <c r="AH31" s="480"/>
      <c r="AL31" s="255"/>
      <c r="AM31" s="258"/>
      <c r="AN31" s="258"/>
      <c r="AO31" s="258"/>
      <c r="AP31" s="258"/>
      <c r="AQ31" s="258"/>
      <c r="AR31" s="258"/>
      <c r="AS31" s="258"/>
      <c r="AT31" s="258"/>
    </row>
    <row r="32" spans="1:46" x14ac:dyDescent="0.25">
      <c r="Z32" s="404"/>
      <c r="AA32" s="404"/>
      <c r="AB32" s="404"/>
      <c r="AC32" s="404"/>
      <c r="AD32" s="404" t="s">
        <v>355</v>
      </c>
      <c r="AE32" s="404"/>
      <c r="AF32" s="404"/>
      <c r="AG32" s="404"/>
      <c r="AH32" s="404"/>
      <c r="AI32" s="404"/>
      <c r="AL32" s="255"/>
      <c r="AM32" s="258"/>
      <c r="AN32" s="258"/>
      <c r="AO32" s="258"/>
      <c r="AP32" s="258"/>
      <c r="AQ32" s="258"/>
      <c r="AR32" s="258"/>
      <c r="AS32" s="258"/>
      <c r="AT32" s="258"/>
    </row>
    <row r="33" spans="21:46" x14ac:dyDescent="0.25">
      <c r="U33" s="250" t="s">
        <v>414</v>
      </c>
      <c r="Z33" s="404"/>
      <c r="AA33" s="404"/>
      <c r="AB33" s="404"/>
      <c r="AC33" s="404"/>
      <c r="AD33" s="404"/>
      <c r="AE33" s="404"/>
      <c r="AF33" s="404"/>
      <c r="AG33" s="404"/>
      <c r="AH33" s="404"/>
      <c r="AI33" s="404"/>
      <c r="AL33" s="255"/>
      <c r="AM33" s="258"/>
      <c r="AN33" s="258"/>
      <c r="AO33" s="258"/>
      <c r="AP33" s="258"/>
      <c r="AQ33" s="258"/>
      <c r="AR33" s="258"/>
      <c r="AS33" s="258"/>
      <c r="AT33" s="258"/>
    </row>
  </sheetData>
  <sheetProtection algorithmName="SHA-512" hashValue="PHXOdUvEUrRPSGkmprGq4we4i1sfeqPTL9YnrLjBCSiiUnyjp9FpEOlG0otwEGCrayU5rXrbzB3vSyB9H2cCLA==" saltValue="/qjijUdwDprWBrgyl3NanQ==" spinCount="100000" sheet="1" objects="1" scenarios="1"/>
  <conditionalFormatting sqref="F17">
    <cfRule type="cellIs" dxfId="9" priority="1" operator="equal">
      <formula>"NIET OK"</formula>
    </cfRule>
    <cfRule type="cellIs" dxfId="8" priority="2" operator="equal">
      <formula>"OK"</formula>
    </cfRule>
  </conditionalFormatting>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DDF76-7212-42A4-B844-A7663D91094B}">
  <dimension ref="A1:F16"/>
  <sheetViews>
    <sheetView workbookViewId="0">
      <selection activeCell="O14" sqref="O14"/>
    </sheetView>
  </sheetViews>
  <sheetFormatPr defaultRowHeight="15" x14ac:dyDescent="0.25"/>
  <sheetData>
    <row r="1" spans="1:6" x14ac:dyDescent="0.25">
      <c r="A1" s="86" t="s">
        <v>169</v>
      </c>
      <c r="B1" s="34"/>
      <c r="C1" s="34"/>
      <c r="D1" s="34"/>
      <c r="E1" s="34"/>
      <c r="F1" s="34"/>
    </row>
    <row r="2" spans="1:6" ht="15.75" x14ac:dyDescent="0.3">
      <c r="A2" s="87" t="s">
        <v>170</v>
      </c>
      <c r="B2" s="34"/>
      <c r="C2" s="34"/>
      <c r="D2" s="34"/>
      <c r="E2" s="88">
        <f>'Invoer 2 - Berek. Belastingen'!N44</f>
        <v>0.79840397507260552</v>
      </c>
      <c r="F2" s="34" t="s">
        <v>15</v>
      </c>
    </row>
    <row r="3" spans="1:6" ht="15.75" x14ac:dyDescent="0.3">
      <c r="A3" s="87" t="s">
        <v>171</v>
      </c>
      <c r="B3" s="34"/>
      <c r="C3" s="34"/>
      <c r="D3" s="34"/>
      <c r="E3" s="88">
        <f>'Invoer 2 - Berek. Belastingen'!N45</f>
        <v>0.23240405042144971</v>
      </c>
      <c r="F3" s="34" t="s">
        <v>15</v>
      </c>
    </row>
    <row r="4" spans="1:6" ht="15.75" x14ac:dyDescent="0.3">
      <c r="A4" s="87" t="s">
        <v>172</v>
      </c>
      <c r="B4" s="34"/>
      <c r="C4" s="34"/>
      <c r="D4" s="34"/>
      <c r="E4" s="88">
        <f>'Invoer 2 - Berek. Belastingen'!N46</f>
        <v>0.8315410693790376</v>
      </c>
      <c r="F4" s="34" t="s">
        <v>15</v>
      </c>
    </row>
    <row r="5" spans="1:6" x14ac:dyDescent="0.25">
      <c r="A5" s="34"/>
      <c r="B5" s="34"/>
      <c r="C5" s="34"/>
      <c r="D5" s="34"/>
      <c r="E5" s="34"/>
      <c r="F5" s="34"/>
    </row>
    <row r="6" spans="1:6" ht="15.75" x14ac:dyDescent="0.3">
      <c r="A6" s="87" t="s">
        <v>173</v>
      </c>
      <c r="B6" s="34"/>
      <c r="C6" s="34"/>
      <c r="D6" s="34"/>
      <c r="E6" s="34">
        <f>'Invoer 2 - Berek. Belastingen'!J39</f>
        <v>1217.25</v>
      </c>
      <c r="F6" s="34" t="s">
        <v>12</v>
      </c>
    </row>
    <row r="7" spans="1:6" ht="15.75" x14ac:dyDescent="0.3">
      <c r="A7" s="87" t="s">
        <v>174</v>
      </c>
      <c r="B7" s="34"/>
      <c r="C7" s="34"/>
      <c r="D7" s="34"/>
      <c r="E7" s="88">
        <f>'Invoer 2 - Berek. Belastingen'!N42</f>
        <v>21.594369906302585</v>
      </c>
      <c r="F7" s="34" t="s">
        <v>12</v>
      </c>
    </row>
    <row r="8" spans="1:6" ht="15.75" x14ac:dyDescent="0.3">
      <c r="A8" s="87" t="s">
        <v>175</v>
      </c>
      <c r="B8" s="34"/>
      <c r="C8" s="34"/>
      <c r="D8" s="34"/>
      <c r="E8" s="88">
        <f>'Invoer 2 - Berek. Belastingen'!N41</f>
        <v>1012.1933667016335</v>
      </c>
      <c r="F8" s="34" t="s">
        <v>131</v>
      </c>
    </row>
    <row r="9" spans="1:6" x14ac:dyDescent="0.25">
      <c r="A9" s="34"/>
      <c r="B9" s="34"/>
      <c r="C9" s="34"/>
      <c r="D9" s="34"/>
      <c r="E9" s="34"/>
      <c r="F9" s="34"/>
    </row>
    <row r="10" spans="1:6" x14ac:dyDescent="0.25">
      <c r="A10" s="87" t="s">
        <v>177</v>
      </c>
      <c r="B10" s="34"/>
      <c r="C10" s="34"/>
      <c r="D10" s="34"/>
      <c r="E10" s="88">
        <f>'Invoer 3 - Funderingsoppervlak'!F23</f>
        <v>4.5069178612419245</v>
      </c>
      <c r="F10" s="34" t="s">
        <v>15</v>
      </c>
    </row>
    <row r="11" spans="1:6" x14ac:dyDescent="0.25">
      <c r="A11" s="87" t="s">
        <v>176</v>
      </c>
      <c r="B11" s="34"/>
      <c r="C11" s="34"/>
      <c r="D11" s="34"/>
      <c r="E11" s="88">
        <f>'Invoer 3 - Funderingsoppervlak'!F24</f>
        <v>6.79</v>
      </c>
      <c r="F11" s="34" t="s">
        <v>15</v>
      </c>
    </row>
    <row r="12" spans="1:6" ht="17.25" x14ac:dyDescent="0.25">
      <c r="A12" s="87" t="s">
        <v>178</v>
      </c>
      <c r="B12" s="34"/>
      <c r="C12" s="34"/>
      <c r="D12" s="34"/>
      <c r="E12" s="88">
        <f>E10*E11</f>
        <v>30.601972277832669</v>
      </c>
      <c r="F12" s="34" t="s">
        <v>19</v>
      </c>
    </row>
    <row r="13" spans="1:6" x14ac:dyDescent="0.25">
      <c r="A13" s="34"/>
      <c r="B13" s="34"/>
      <c r="C13" s="34"/>
      <c r="D13" s="34"/>
      <c r="E13" s="34"/>
      <c r="F13" s="34"/>
    </row>
    <row r="14" spans="1:6" ht="17.25" x14ac:dyDescent="0.25">
      <c r="A14" s="87" t="s">
        <v>180</v>
      </c>
      <c r="B14" s="34"/>
      <c r="C14" s="34"/>
      <c r="D14" s="34"/>
      <c r="E14" s="88">
        <f>E6/E12</f>
        <v>39.776848006680488</v>
      </c>
      <c r="F14" s="34" t="s">
        <v>104</v>
      </c>
    </row>
    <row r="15" spans="1:6" ht="17.25" x14ac:dyDescent="0.25">
      <c r="A15" s="87" t="s">
        <v>181</v>
      </c>
      <c r="B15" s="34"/>
      <c r="C15" s="34"/>
      <c r="D15" s="34"/>
      <c r="E15" s="88">
        <f>'Invoer 1 - Kraangegevens'!K22</f>
        <v>3.830645161290323</v>
      </c>
      <c r="F15" s="34" t="s">
        <v>104</v>
      </c>
    </row>
    <row r="16" spans="1:6" ht="17.25" x14ac:dyDescent="0.25">
      <c r="A16" s="87" t="s">
        <v>179</v>
      </c>
      <c r="B16" s="34"/>
      <c r="C16" s="34"/>
      <c r="D16" s="34"/>
      <c r="E16" s="88">
        <f>E14+E15</f>
        <v>43.607493167970809</v>
      </c>
      <c r="F16" s="34"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vt:i4>
      </vt:variant>
    </vt:vector>
  </HeadingPairs>
  <TitlesOfParts>
    <vt:vector size="13" baseType="lpstr">
      <vt:lpstr>Algemene informatie</vt:lpstr>
      <vt:lpstr>Gebruiksaanwijzing</vt:lpstr>
      <vt:lpstr>Hulpblad kranen</vt:lpstr>
      <vt:lpstr>Hulpblad blokken</vt:lpstr>
      <vt:lpstr>Hulpblad schotten</vt:lpstr>
      <vt:lpstr>Invoer 1 - Kraangegevens</vt:lpstr>
      <vt:lpstr>Invoer 2 - Berek. Belastingen</vt:lpstr>
      <vt:lpstr>Invoer 3 - Funderingsoppervlak</vt:lpstr>
      <vt:lpstr>Overzicht rekenresultaten</vt:lpstr>
      <vt:lpstr>Invoer 4 - Grondeigenschappen</vt:lpstr>
      <vt:lpstr>Invoer 5 - Draagvermogen</vt:lpstr>
      <vt:lpstr>Certificaat (BTC)</vt:lpstr>
      <vt:lpstr>'Invoer 5 - Draagvermogen'!Afdrukbereik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Deen</dc:creator>
  <cp:lastModifiedBy>Tim Deen</cp:lastModifiedBy>
  <cp:lastPrinted>2022-01-10T12:39:43Z</cp:lastPrinted>
  <dcterms:created xsi:type="dcterms:W3CDTF">2021-06-22T10:14:44Z</dcterms:created>
  <dcterms:modified xsi:type="dcterms:W3CDTF">2022-01-11T08:03:17Z</dcterms:modified>
</cp:coreProperties>
</file>